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mc:AlternateContent xmlns:mc="http://schemas.openxmlformats.org/markup-compatibility/2006">
    <mc:Choice Requires="x15">
      <x15ac:absPath xmlns:x15ac="http://schemas.microsoft.com/office/spreadsheetml/2010/11/ac" url="\\jice-fs1\技術・調達政策グループ\部内＋ゲスト\K2\受託事業関連\5301_諸経費及び工事コスト（共有）\2020年度（R2）\★★R2調査票\201216_調査票・マニュアル修正\201216_下水\"/>
    </mc:Choice>
  </mc:AlternateContent>
  <xr:revisionPtr revIDLastSave="0" documentId="13_ncr:1_{C67E0694-6C56-4480-914A-558C870AD5D0}" xr6:coauthVersionLast="45" xr6:coauthVersionMax="45" xr10:uidLastSave="{00000000-0000-0000-0000-000000000000}"/>
  <bookViews>
    <workbookView xWindow="5085" yWindow="1155" windowWidth="21315" windowHeight="15135" tabRatio="818" xr2:uid="{00000000-000D-0000-FFFF-FFFF00000000}"/>
  </bookViews>
  <sheets>
    <sheet name="開始画面" sheetId="14" r:id="rId1"/>
    <sheet name="工事情報" sheetId="15" r:id="rId2"/>
    <sheet name="一般事項" sheetId="9" r:id="rId3"/>
    <sheet name="工事費" sheetId="16" r:id="rId4"/>
    <sheet name="工期" sheetId="4" r:id="rId5"/>
    <sheet name="施工分散" sheetId="43" state="hidden" r:id="rId6"/>
    <sheet name="施工環境" sheetId="8" r:id="rId7"/>
    <sheet name="二次製品" sheetId="30" r:id="rId8"/>
    <sheet name="二次製品（LED照明）" sheetId="56" state="hidden" r:id="rId9"/>
    <sheet name="準備費" sheetId="27" state="hidden" r:id="rId10"/>
    <sheet name="積算方式" sheetId="40" state="hidden" r:id="rId11"/>
    <sheet name="ICT" sheetId="53" state="hidden" r:id="rId12"/>
    <sheet name="感染対策" sheetId="60" r:id="rId13"/>
    <sheet name="確認" sheetId="12" r:id="rId14"/>
    <sheet name="元請調査票データ" sheetId="59" r:id="rId15"/>
    <sheet name="チェック" sheetId="17" r:id="rId16"/>
    <sheet name="要確認一覧表" sheetId="39" r:id="rId17"/>
    <sheet name="修正履歴" sheetId="61" state="hidden" r:id="rId18"/>
    <sheet name="Table" sheetId="54" state="hidden" r:id="rId19"/>
    <sheet name="KKS" sheetId="55" state="hidden" r:id="rId20"/>
    <sheet name="基礎データ" sheetId="57"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xlnm._FilterDatabase" localSheetId="19" hidden="1">KKS!#REF!</definedName>
    <definedName name="_xlnm._FilterDatabase" localSheetId="18" hidden="1">Table!$A$374:$V$413</definedName>
    <definedName name="_xlnm._FilterDatabase" localSheetId="2" hidden="1">一般事項!$I$117:$J$1905</definedName>
    <definedName name="_xlnm._FilterDatabase" localSheetId="3" hidden="1">工事費!$Q$5:$Y$7</definedName>
    <definedName name="_xlnm._FilterDatabase" localSheetId="17" hidden="1">修正履歴!$D$3:$H$5</definedName>
    <definedName name="_xlnm._FilterDatabase" localSheetId="16" hidden="1">要確認一覧表!$A$3:$I$145</definedName>
    <definedName name="A1票yesno">[1]table!$B$180:$B$181</definedName>
    <definedName name="H28基準書_共通仮設" localSheetId="17">[2]Table!$F$402:$F$408</definedName>
    <definedName name="H28基準書_共通仮設">Table!$F$347:$F$353</definedName>
    <definedName name="H28基準書_現場管理">Table!$D$364:$D$370</definedName>
    <definedName name="H29基準書_共通仮設" localSheetId="17">[2]Table!$E$402:$E$409</definedName>
    <definedName name="H29基準書_共通仮設">Table!$E$347:$E$354</definedName>
    <definedName name="H29基準書_現場管理">Table!$C$364:$C$371</definedName>
    <definedName name="H30基準書_共通仮設" localSheetId="17">[2]Table!$D$402:$D$409</definedName>
    <definedName name="H30基準書_共通仮設">Table!$D$347:$D$354</definedName>
    <definedName name="H30基準書_現場管理">Table!$A$364:$A$371</definedName>
    <definedName name="H31基準書_共通仮設">Table!$C$347:$C$354</definedName>
    <definedName name="ICT_工種">[1]table!$B$421:$B$429</definedName>
    <definedName name="ICT_使用機械">[1]table!$B$455:$B$461</definedName>
    <definedName name="ICT_施工工種">[1]table!$B$442:$B$453</definedName>
    <definedName name="ICT_種別" localSheetId="17">[2]Table!$A$761:$A$771</definedName>
    <definedName name="ICT_種別">Table!$A$706:$A$716</definedName>
    <definedName name="ICT_出来形管理">[1]table!$B$468:$B$476</definedName>
    <definedName name="ICT_出来形管理_河川浚渫">[1]table!$B$463:$B$466</definedName>
    <definedName name="ICT_測量">[1]table!$B$431:$B$440</definedName>
    <definedName name="ICT活用技術">Table!$A$783:$A$784</definedName>
    <definedName name="ICT補正" localSheetId="17">[2]Table!$A$546:$A$548</definedName>
    <definedName name="ICT補正">Table!$A$491:$A$493</definedName>
    <definedName name="_xlnm.Print_Area" localSheetId="11">ICT!$A$1:$J$41</definedName>
    <definedName name="_xlnm.Print_Area" localSheetId="18">Table!$A$1:$E$852</definedName>
    <definedName name="_xlnm.Print_Area" localSheetId="15">チェック!$A$1:$T$131</definedName>
    <definedName name="_xlnm.Print_Area" localSheetId="2">一般事項!$A$1:$G$116</definedName>
    <definedName name="_xlnm.Print_Area" localSheetId="13">確認!$A$1:$L$63</definedName>
    <definedName name="_xlnm.Print_Area" localSheetId="12">感染対策!$A$1:$I$20</definedName>
    <definedName name="_xlnm.Print_Area" localSheetId="4">工期!$A$2:$T$54</definedName>
    <definedName name="_xlnm.Print_Area" localSheetId="1">工事情報!$B$2:$H$63</definedName>
    <definedName name="_xlnm.Print_Area" localSheetId="3">工事費!$A$1:$Y$359</definedName>
    <definedName name="_xlnm.Print_Area" localSheetId="6">施工環境!$A$2:$J$86</definedName>
    <definedName name="_xlnm.Print_Area" localSheetId="5">施工分散!$A$1:$L$136</definedName>
    <definedName name="_xlnm.Print_Area" localSheetId="9">準備費!$A$1:$I$21</definedName>
    <definedName name="_xlnm.Print_Area" localSheetId="10">積算方式!$A$1:$L$113</definedName>
    <definedName name="_xlnm.Print_Area" localSheetId="7">二次製品!$A$1:$U$104</definedName>
    <definedName name="_xlnm.Print_Area" localSheetId="8">'二次製品（LED照明）'!$A$1:$P$33</definedName>
    <definedName name="_xlnm.Print_Area" localSheetId="16">要確認一覧表!$B$1:$I$147</definedName>
    <definedName name="_xlnm.Print_Titles" localSheetId="17">修正履歴!$1:$3</definedName>
    <definedName name="_xlnm.Print_Titles" localSheetId="10">積算方式!$10:$13</definedName>
    <definedName name="_xlnm.Print_Titles" localSheetId="7">二次製品!$5:$53</definedName>
    <definedName name="_xlnm.Print_Titles" localSheetId="16">要確認一覧表!$1:$3</definedName>
    <definedName name="Yes_No" localSheetId="17">[2]Table!$A$612:$A$614</definedName>
    <definedName name="Yes_No">Table!$A$557:$A$559</definedName>
    <definedName name="スライドの種類" localSheetId="17">[2]Table!$A$169:$A$174</definedName>
    <definedName name="スライドの種類">Table!$A$163:$A$168</definedName>
    <definedName name="スライドの有無" localSheetId="20">[3]Table!$A$95:$A$97</definedName>
    <definedName name="スライドの有無" localSheetId="17">[2]Table!$A$164:$A$166</definedName>
    <definedName name="スライドの有無">Table!$A$158:$A$160</definedName>
    <definedName name="その他補正" localSheetId="17">[2]Table!$A$529:$A$531</definedName>
    <definedName name="その他補正">Table!$A$474:$A$476</definedName>
    <definedName name="安全留意度">[1]table!$B$245:$B$248</definedName>
    <definedName name="一般管理費等の前払い金支出割合" localSheetId="20">[3]Table!$A$51:$A$56</definedName>
    <definedName name="一般管理費等の前払い金支出割合" localSheetId="17">[2]Table!$A$51:$A$56</definedName>
    <definedName name="一般管理費等の前払い金支出割合">Table!$A$51:$A$56</definedName>
    <definedName name="一般競争入札の評価方法" localSheetId="17">[2]Table!$A$59:$A$70</definedName>
    <definedName name="一般競争入札の評価方法">Table!$A$59:$A$70</definedName>
    <definedName name="外注先">Table!$A$731:$A$735</definedName>
    <definedName name="管理区分" localSheetId="17">[2]Table!$A$595:$A$602</definedName>
    <definedName name="管理区分">Table!$A$540:$A$547</definedName>
    <definedName name="基準書" localSheetId="17">[2]Table!$A$400:$F$400</definedName>
    <definedName name="基準書">Table!$A$345:$F$345</definedName>
    <definedName name="技術管理調査項目">Table!$A$743:$A$760</definedName>
    <definedName name="熊本復興補正" localSheetId="17">[2]Table!$A$535:$A$538</definedName>
    <definedName name="熊本復興補正">Table!$A$480:$A$483</definedName>
    <definedName name="契約日から着手指定日まで30日以上あった理由" localSheetId="20">[3]Table!$A$393:$A$399</definedName>
    <definedName name="契約日から着手指定日まで30日以上あった理由" localSheetId="17">[2]Table!$A$675:$A$681</definedName>
    <definedName name="契約日から着手指定日まで30日以上あった理由">Table!$A$620:$A$626</definedName>
    <definedName name="契約方式【総価契約単価合意方式の場合】" localSheetId="17">[2]Table!$A$177:$A$179</definedName>
    <definedName name="契約方式【総価契約単価合意方式の場合】">Table!$A$171:$A$173</definedName>
    <definedName name="経費算定別">[1]table!$B$85:$B$90</definedName>
    <definedName name="月">Table!$A$804:$A$816</definedName>
    <definedName name="健康保険○×">[1]table!$B$323:$B$325</definedName>
    <definedName name="建設事業">[1]table!$B$186:$B$195</definedName>
    <definedName name="現場の原則的休日">[1]table!$B$116:$B$121</definedName>
    <definedName name="工事の工期について">[1]table!$B$123:$B$126</definedName>
    <definedName name="工事種別" localSheetId="20">[3]Table!$A$4:$A$29</definedName>
    <definedName name="工事種別" localSheetId="17">[2]Table!$A$4:$A$29</definedName>
    <definedName name="工事種別">Table!$A$4:$A$29</definedName>
    <definedName name="工事費_計算" localSheetId="20">[3]工事費!$J$9:$J$62,[3]工事費!$J$68:$J$87,[3]工事費!$J$91:$J$108,[3]工事費!$J$117:$J$156,[3]工事費!#REF!+[3]工事費!#REF!</definedName>
    <definedName name="工事費_有無" localSheetId="20">[3]Table!$A$362:$A$364</definedName>
    <definedName name="工事費_有無" localSheetId="17">[2]Table!$A$605:$A$607</definedName>
    <definedName name="工事費_有無">Table!$A$550:$A$552</definedName>
    <definedName name="工種" localSheetId="20">[3]Table!$A$129:$A$151</definedName>
    <definedName name="工種" localSheetId="17">[2]Table!$A$194:$A$252</definedName>
    <definedName name="工種">Table!$A$186:$A$197</definedName>
    <definedName name="工種区分">[4]table!$B$354:$B$357</definedName>
    <definedName name="広島復興補正" localSheetId="17">[2]Table!$A$541:$A$543</definedName>
    <definedName name="広島復興補正">Table!$A$486:$A$488</definedName>
    <definedName name="港の種類">[4]table!$B$289:$B$296</definedName>
    <definedName name="作業実行者">Table!$A$762:$A$764</definedName>
    <definedName name="作業制約時間" localSheetId="20">[3]Table!$A$402:$A$406</definedName>
    <definedName name="作業制約時間" localSheetId="17">[2]Table!$A$684:$A$688</definedName>
    <definedName name="作業制約時間">Table!$A$629:$A$633</definedName>
    <definedName name="作業不能の要因" localSheetId="20">[3]Table!$A$369:$A$374</definedName>
    <definedName name="作業不能の要因" localSheetId="14">[1]table!$B$109:$B$114</definedName>
    <definedName name="作業不能の要因" localSheetId="17">[2]Table!$A$623:$A$628</definedName>
    <definedName name="作業不能の要因">Table!$A$568:$A$573</definedName>
    <definedName name="山間僻地及び離島" localSheetId="17">[2]Table!$A$506:$A$508</definedName>
    <definedName name="山間僻地及び離島">Table!$A$451:$A$453</definedName>
    <definedName name="施工箇所">[1]table!$B$138:$B$140</definedName>
    <definedName name="施工環境" localSheetId="20">[3]Table!$A$379:$A$381</definedName>
    <definedName name="施工環境" localSheetId="17">[2]Table!$A$670:$A$672</definedName>
    <definedName name="施工環境">Table!$A$615:$A$617</definedName>
    <definedName name="施工場所コード" localSheetId="20">[3]Table!$A$154:$A$158</definedName>
    <definedName name="施工場所コード" localSheetId="17">[2]Table!$A$255:$A$260</definedName>
    <definedName name="施工場所コード">Table!$A$200:$A$205</definedName>
    <definedName name="施工地域" localSheetId="20">[3]Table!$C$196:$C$324</definedName>
    <definedName name="施工地域">Table!$C$213:$C$342</definedName>
    <definedName name="施工地域○×">[1]table!$B$328:$B$330</definedName>
    <definedName name="施工地域特性" localSheetId="20">[5]Table!$A$477:$A$482</definedName>
    <definedName name="施工地域特性" localSheetId="17">[2]Table!$A$659:$A$665</definedName>
    <definedName name="施工地域特性">Table!$A$604:$A$610</definedName>
    <definedName name="施工地域補正_共通仮設" localSheetId="20">[3]Table!$A$161:$A$166</definedName>
    <definedName name="施工地域補正_共通仮設">Table!$A$345:$A$354</definedName>
    <definedName name="施工地域補正_現場管理">Table!$A$363:$A$371</definedName>
    <definedName name="施工分散_有無" localSheetId="20">[5]Table!$A$451:$A$452</definedName>
    <definedName name="施工分散_有無" localSheetId="17">[2]Table!$A$633:$A$635</definedName>
    <definedName name="施工分散_有無">Table!$A$578:$A$580</definedName>
    <definedName name="施工分散Yes_No">Table!$A$599:$A$601</definedName>
    <definedName name="施工分散yesno">[1]table!$B$146:$B$148</definedName>
    <definedName name="施工分散昼夜">[1]table!$B$133:$B$136</definedName>
    <definedName name="施工分散有無">[1]table!$B$129:$B$131</definedName>
    <definedName name="資機材の保管">[1]table!$B$142:$B$144</definedName>
    <definedName name="車線規制" localSheetId="17">[2]Table!$A$691:$A$697</definedName>
    <definedName name="車線規制">Table!$A$636:$A$642</definedName>
    <definedName name="週休2日補正有無" localSheetId="17">[2]Table!$A$521:$A$526</definedName>
    <definedName name="週休2日補正有無">Table!$A$466:$A$471</definedName>
    <definedName name="所管名1">Table!$A$73:$A$75</definedName>
    <definedName name="所管名2" localSheetId="20">[3]Table!$B$71:$B$91</definedName>
    <definedName name="所管名2" localSheetId="17">[2]Table!$B$73:$B$84</definedName>
    <definedName name="所管名2">Table!$B$78:$B$155</definedName>
    <definedName name="除雪工事補正の有無" localSheetId="20">[6]Table!$A$206:$A$208</definedName>
    <definedName name="除雪工事補正の有無">Table!$A$208:$A$210</definedName>
    <definedName name="除雪工事補正係数" localSheetId="17">[2]Table!$A$558:$A$565</definedName>
    <definedName name="除雪工事補正係数">Table!$A$503:$A$510</definedName>
    <definedName name="情報化施工_区分" localSheetId="14">[7]Table!$A$556:$A$557</definedName>
    <definedName name="情報化施工_区分" localSheetId="17">[2]Table!$A$754:$A$758</definedName>
    <definedName name="情報化施工_区分">Table!$A$699:$A$703</definedName>
    <definedName name="情報化施工_有無" localSheetId="14">[7]Table!$A$579:$A$580</definedName>
    <definedName name="情報化施工_有無">Table!$A$738:$A$740</definedName>
    <definedName name="情報化施工の種別" localSheetId="14">[7]Table!$A$561:$A$569</definedName>
    <definedName name="情報化施工の種別">Table!$A$719:$A$728</definedName>
    <definedName name="情報共有システム_ＡＳＰのみ_使用の有無" localSheetId="17">[2]Table!$A$580:$A$582</definedName>
    <definedName name="情報共有システム_ＡＳＰのみ_使用の有無">Table!$A$525:$A$527</definedName>
    <definedName name="職種">[1]table!$B$174:$B$177</definedName>
    <definedName name="積雪寒冷地" localSheetId="17">[2]Table!$A$568:$A$570</definedName>
    <definedName name="積雪寒冷地">Table!$A$513:$A$515</definedName>
    <definedName name="前払い金の有無によるコード">[1]table!$B$92:$B$94</definedName>
    <definedName name="対象工種" localSheetId="14">[7]Table!$A$607:$A$610</definedName>
    <definedName name="対象工種">Table!$A$767:$A$773</definedName>
    <definedName name="大都市・市街地補正係数" localSheetId="20">[5]Table!$A$393:$A$395</definedName>
    <definedName name="大都市・市街地補正係数">Table!$A$497:$A$500</definedName>
    <definedName name="団体割引有無">[4]table!$B$348:$B$350</definedName>
    <definedName name="地域特性" localSheetId="20">[3]Table!$A$121:$A$126</definedName>
    <definedName name="地域特性">Table!$A$179:$A$183</definedName>
    <definedName name="昼夜" localSheetId="20">[5]Table!$A$456:$A$458</definedName>
    <definedName name="昼夜" localSheetId="17">[2]Table!$A$638:$A$641</definedName>
    <definedName name="昼夜">Table!$A$583:$A$586</definedName>
    <definedName name="都道府県" localSheetId="17">#REF!</definedName>
    <definedName name="都道府県">#REF!</definedName>
    <definedName name="難易度" localSheetId="17">[2]Table!$A$32:$A$39</definedName>
    <definedName name="難易度">Table!$A$32:$A$39</definedName>
    <definedName name="二次製品" localSheetId="20">[3]Table!$A$411:$A$422</definedName>
    <definedName name="二次製品" localSheetId="17">[2]Table!$A$702:$A$733</definedName>
    <definedName name="二次製品">Table!$A$647:$A$678</definedName>
    <definedName name="日">Table!$A$819:$A$850</definedName>
    <definedName name="日々運搬回送" localSheetId="20">[5]Table!$A$467:$A$468</definedName>
    <definedName name="日々運搬回送" localSheetId="17">[2]Table!$A$649:$A$651</definedName>
    <definedName name="日々運搬回送">Table!$A$594:$A$596</definedName>
    <definedName name="入札契約方式" localSheetId="17">[2]Table!$A$42:$A$48</definedName>
    <definedName name="入札契約方式">Table!$A$42:$A$48</definedName>
    <definedName name="年" localSheetId="17">[2]Table!$A$846:$A$856</definedName>
    <definedName name="年">Table!$A$791:$A$801</definedName>
    <definedName name="発注形態" localSheetId="17">[2]Table!$A$587:$A$592</definedName>
    <definedName name="発注形態">Table!$A$532:$A$537</definedName>
    <definedName name="発注方式">Table!$A$776:$A$780</definedName>
    <definedName name="不明" localSheetId="17">[2]Table!$A$736:$A$737</definedName>
    <definedName name="不明">Table!$A$681:$A$682</definedName>
    <definedName name="復興補正_共通仮設" localSheetId="17">[2]Table!$A$511:$A$513</definedName>
    <definedName name="復興補正_共通仮設">Table!$A$456:$A$458</definedName>
    <definedName name="復興補正_現場管理">Table!$A$461:$A$463</definedName>
    <definedName name="複数施工箇所の形態">[4]table!$B$125:$B$127</definedName>
    <definedName name="補修" localSheetId="20">[3]Table!$A$438:$A$440</definedName>
    <definedName name="補修" localSheetId="17">[2]Table!$A$742:$A$744</definedName>
    <definedName name="補修">Table!$A$687:$A$689</definedName>
    <definedName name="補償方法選択" localSheetId="20">[3]Table!$A$443:$A$445</definedName>
    <definedName name="補償方法選択" localSheetId="17">[2]Table!$A$747:$A$749</definedName>
    <definedName name="補償方法選択">Table!$A$692:$A$694</definedName>
    <definedName name="法定福利建設事業">[1]table!$B$186:$D$195</definedName>
    <definedName name="有無" localSheetId="17">[2]Table!$A$605:$A$607</definedName>
    <definedName name="有無">Table!$A$550:$A$552</definedName>
    <definedName name="余裕期間" localSheetId="17">[2]Table!$A$617:$A$620</definedName>
    <definedName name="余裕期間">Table!$A$562:$A$565</definedName>
    <definedName name="令和02基準書_共通仮設">Table!$A$347:$A$357</definedName>
    <definedName name="路上箇所" localSheetId="20">[5]Table!$A$462:$A$463</definedName>
    <definedName name="路上箇所" localSheetId="17">[2]Table!$A$644:$A$646</definedName>
    <definedName name="路上箇所">Table!$A$589:$A$591</definedName>
    <definedName name="労災保険算出方法">[1]table!$B$197:$B$199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9" i="9" l="1"/>
  <c r="G54" i="8" l="1"/>
  <c r="G52" i="8" l="1"/>
  <c r="I52" i="8" s="1"/>
  <c r="J52" i="8"/>
  <c r="N52" i="8"/>
  <c r="I172" i="16" l="1"/>
  <c r="I173" i="16"/>
  <c r="I174" i="16"/>
  <c r="I175" i="16"/>
  <c r="I176" i="16"/>
  <c r="I177" i="16"/>
  <c r="I178" i="16"/>
  <c r="I179" i="16"/>
  <c r="I180" i="16"/>
  <c r="I181" i="16"/>
  <c r="I182" i="16"/>
  <c r="I183" i="16"/>
  <c r="I184" i="16"/>
  <c r="I185" i="16"/>
  <c r="I186" i="16"/>
  <c r="I187" i="16"/>
  <c r="I188" i="16"/>
  <c r="I189" i="16"/>
  <c r="I190" i="16"/>
  <c r="I191" i="16"/>
  <c r="I192" i="16"/>
  <c r="I193" i="16"/>
  <c r="I194" i="16"/>
  <c r="I195" i="16"/>
  <c r="I196" i="16"/>
  <c r="I197" i="16"/>
  <c r="I198" i="16"/>
  <c r="I199" i="16"/>
  <c r="I200" i="16"/>
  <c r="I201" i="16"/>
  <c r="I202" i="16"/>
  <c r="I203" i="16"/>
  <c r="I204" i="16"/>
  <c r="I205" i="16"/>
  <c r="I206" i="16"/>
  <c r="I207" i="16"/>
  <c r="I208" i="16"/>
  <c r="I209" i="16"/>
  <c r="I210" i="16"/>
  <c r="I211" i="16"/>
  <c r="M225" i="16"/>
  <c r="L224" i="16"/>
  <c r="L223" i="16"/>
  <c r="L222" i="16"/>
  <c r="L221" i="16"/>
  <c r="L220" i="16"/>
  <c r="L219" i="16"/>
  <c r="L218" i="16"/>
  <c r="L217" i="16"/>
  <c r="L225" i="16" l="1"/>
  <c r="M226" i="16" s="1"/>
  <c r="J164" i="16"/>
  <c r="J60" i="16" s="1"/>
  <c r="I163" i="16"/>
  <c r="I162" i="16"/>
  <c r="I161" i="16"/>
  <c r="I160" i="16"/>
  <c r="I159" i="16"/>
  <c r="I158" i="16"/>
  <c r="I157" i="16"/>
  <c r="I156" i="16"/>
  <c r="I155" i="16"/>
  <c r="I154"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F5" i="15" l="1"/>
  <c r="Q226" i="59" l="1"/>
  <c r="Q225" i="59"/>
  <c r="Q224" i="59"/>
  <c r="Q223" i="59"/>
  <c r="Q222" i="59"/>
  <c r="Q221" i="59"/>
  <c r="Q220" i="59"/>
  <c r="Q219" i="59"/>
  <c r="Q218" i="59"/>
  <c r="Q217" i="59"/>
  <c r="Q216" i="59"/>
  <c r="Q215" i="59"/>
  <c r="Q214" i="59"/>
  <c r="Q213" i="59"/>
  <c r="Q212" i="59"/>
  <c r="Q211" i="59"/>
  <c r="Q210" i="59"/>
  <c r="Q209" i="59"/>
  <c r="Q208" i="59"/>
  <c r="Q207" i="59"/>
  <c r="Q206" i="59"/>
  <c r="Q205" i="59"/>
  <c r="Q204" i="59"/>
  <c r="Q203" i="59"/>
  <c r="Q202" i="59"/>
  <c r="Q201" i="59"/>
  <c r="Q200" i="59"/>
  <c r="Q199" i="59"/>
  <c r="Q198" i="59"/>
  <c r="Q197" i="59"/>
  <c r="Q196" i="59"/>
  <c r="Q195" i="59"/>
  <c r="Q194" i="59"/>
  <c r="Q193" i="59"/>
  <c r="Q192" i="59"/>
  <c r="Q191" i="59"/>
  <c r="Q190" i="59"/>
  <c r="Q189" i="59"/>
  <c r="Q188" i="59"/>
  <c r="Q187" i="59"/>
  <c r="Q186" i="59"/>
  <c r="Q185" i="59"/>
  <c r="Q184" i="59"/>
  <c r="Q183" i="59"/>
  <c r="Q182" i="59"/>
  <c r="Q181" i="59"/>
  <c r="Q180" i="59"/>
  <c r="Q179" i="59"/>
  <c r="Q178" i="59"/>
  <c r="Q177" i="59"/>
  <c r="G11" i="15" l="1"/>
  <c r="E31" i="60" l="1"/>
  <c r="E30" i="60"/>
  <c r="E29" i="60"/>
  <c r="E28" i="60"/>
  <c r="E27" i="60"/>
  <c r="E18" i="60"/>
  <c r="E17" i="60"/>
  <c r="E16" i="60"/>
  <c r="E15" i="60"/>
  <c r="E14" i="60"/>
  <c r="E31" i="9" l="1"/>
  <c r="O116" i="9"/>
  <c r="L1728" i="9"/>
  <c r="L1505" i="9"/>
  <c r="L1453" i="9"/>
  <c r="O151" i="9" s="1"/>
  <c r="L901" i="9"/>
  <c r="L118" i="9"/>
  <c r="K1864" i="9"/>
  <c r="K1820" i="9"/>
  <c r="L1820" i="9" s="1"/>
  <c r="K1793" i="9"/>
  <c r="K1774" i="9"/>
  <c r="K1728" i="9"/>
  <c r="O161" i="9" s="1"/>
  <c r="K1706" i="9"/>
  <c r="K1685" i="9"/>
  <c r="L1685" i="9" s="1"/>
  <c r="K1624" i="9"/>
  <c r="L1624" i="9" s="1"/>
  <c r="K1589" i="9"/>
  <c r="K1568" i="9"/>
  <c r="L1568" i="9" s="1"/>
  <c r="K1550" i="9"/>
  <c r="L1550" i="9" s="1"/>
  <c r="K1525" i="9"/>
  <c r="K1505" i="9"/>
  <c r="O153" i="9" s="1"/>
  <c r="K1481" i="9"/>
  <c r="K1453" i="9"/>
  <c r="K1433" i="9"/>
  <c r="K1413" i="9"/>
  <c r="K1382" i="9"/>
  <c r="L1382" i="9" s="1"/>
  <c r="K1342" i="9"/>
  <c r="L1342" i="9" s="1"/>
  <c r="K1300" i="9"/>
  <c r="K1256" i="9"/>
  <c r="K1229" i="9"/>
  <c r="K1209" i="9"/>
  <c r="K1179" i="9"/>
  <c r="L1179" i="9" s="1"/>
  <c r="O142" i="9" s="1"/>
  <c r="K1124" i="9"/>
  <c r="K1088" i="9"/>
  <c r="L1088" i="9" s="1"/>
  <c r="K1045" i="9"/>
  <c r="K967" i="9"/>
  <c r="K939" i="9"/>
  <c r="L939" i="9" s="1"/>
  <c r="K921" i="9"/>
  <c r="K901" i="9"/>
  <c r="K885" i="9"/>
  <c r="L885" i="9" s="1"/>
  <c r="O134" i="9" s="1"/>
  <c r="K854" i="9"/>
  <c r="K820" i="9"/>
  <c r="L820" i="9" s="1"/>
  <c r="K757" i="9"/>
  <c r="L757" i="9" s="1"/>
  <c r="K702" i="9"/>
  <c r="K638" i="9"/>
  <c r="K602" i="9"/>
  <c r="K576" i="9"/>
  <c r="K531" i="9"/>
  <c r="K471" i="9"/>
  <c r="K435" i="9"/>
  <c r="L435" i="9" s="1"/>
  <c r="K409" i="9"/>
  <c r="L409" i="9" s="1"/>
  <c r="K373" i="9"/>
  <c r="K339" i="9"/>
  <c r="L339" i="9" s="1"/>
  <c r="K298" i="9"/>
  <c r="K118" i="9"/>
  <c r="O119" i="9" s="1"/>
  <c r="O150" i="9" l="1"/>
  <c r="O163" i="9"/>
  <c r="O139" i="9"/>
  <c r="L1793" i="9"/>
  <c r="L1433" i="9"/>
  <c r="O131" i="9"/>
  <c r="O127" i="9"/>
  <c r="O143" i="9"/>
  <c r="O159" i="9"/>
  <c r="O135" i="9"/>
  <c r="L1045" i="9"/>
  <c r="O158" i="9"/>
  <c r="O137" i="9"/>
  <c r="O123" i="9"/>
  <c r="O121" i="9"/>
  <c r="O129" i="9"/>
  <c r="O145" i="9"/>
  <c r="L531" i="9"/>
  <c r="O126" i="9" s="1"/>
  <c r="L576" i="9"/>
  <c r="L1209" i="9"/>
  <c r="O147" i="9"/>
  <c r="O155" i="9"/>
  <c r="L638" i="9"/>
  <c r="L1256" i="9"/>
  <c r="O122" i="9"/>
  <c r="O141" i="9"/>
  <c r="O133" i="9"/>
  <c r="O144" i="9"/>
  <c r="O152" i="9"/>
  <c r="O160" i="9"/>
  <c r="L471" i="9"/>
  <c r="O125" i="9" s="1"/>
  <c r="L854" i="9"/>
  <c r="L1124" i="9"/>
  <c r="L1413" i="9"/>
  <c r="O149" i="9" s="1"/>
  <c r="L1589" i="9"/>
  <c r="O157" i="9" s="1"/>
  <c r="L1864" i="9"/>
  <c r="O165" i="9" s="1"/>
  <c r="L298" i="9"/>
  <c r="O120" i="9" s="1"/>
  <c r="L602" i="9"/>
  <c r="O128" i="9" s="1"/>
  <c r="L921" i="9"/>
  <c r="O136" i="9" s="1"/>
  <c r="L1229" i="9"/>
  <c r="L1481" i="9"/>
  <c r="L1706" i="9"/>
  <c r="O164" i="9"/>
  <c r="O156" i="9"/>
  <c r="O148" i="9"/>
  <c r="O140" i="9"/>
  <c r="O132" i="9"/>
  <c r="O124" i="9"/>
  <c r="L373" i="9"/>
  <c r="L702" i="9"/>
  <c r="O130" i="9" s="1"/>
  <c r="L967" i="9"/>
  <c r="O138" i="9" s="1"/>
  <c r="L1300" i="9"/>
  <c r="O146" i="9" s="1"/>
  <c r="L1525" i="9"/>
  <c r="O154" i="9" s="1"/>
  <c r="L1774" i="9"/>
  <c r="O162" i="9" s="1"/>
  <c r="B1" i="60" l="1"/>
  <c r="G58" i="12" s="1"/>
  <c r="K58" i="12" s="1"/>
  <c r="E34" i="60"/>
  <c r="E33" i="60"/>
  <c r="E32" i="60"/>
  <c r="E26" i="60"/>
  <c r="E25" i="60"/>
  <c r="E24" i="60"/>
  <c r="E23" i="60"/>
  <c r="E22" i="60"/>
  <c r="E20" i="60"/>
  <c r="E19" i="60"/>
  <c r="E13" i="60"/>
  <c r="E12" i="60"/>
  <c r="E11" i="60"/>
  <c r="E10" i="60"/>
  <c r="E9" i="60"/>
  <c r="R14" i="4" l="1"/>
  <c r="R13" i="4"/>
  <c r="R12" i="4"/>
  <c r="R11" i="4"/>
  <c r="R10" i="4"/>
  <c r="R9" i="4"/>
  <c r="J9" i="4"/>
  <c r="Q157" i="59" l="1"/>
  <c r="Q120" i="59"/>
  <c r="F35" i="60" l="1"/>
  <c r="F21" i="60"/>
  <c r="D1" i="60"/>
  <c r="I58" i="12" s="1"/>
  <c r="D3" i="60"/>
  <c r="I47" i="16"/>
  <c r="I41" i="16"/>
  <c r="A5" i="57" l="1"/>
  <c r="Q84" i="59" l="1"/>
  <c r="N55" i="8" l="1"/>
  <c r="H55" i="8"/>
  <c r="I55" i="8" l="1"/>
  <c r="F60" i="9" l="1"/>
  <c r="E43" i="9"/>
  <c r="F55" i="9" l="1"/>
  <c r="H36" i="9"/>
  <c r="H35" i="9"/>
  <c r="H24" i="9" l="1"/>
  <c r="I32" i="16" l="1"/>
  <c r="J27" i="15" l="1"/>
  <c r="J24" i="15"/>
  <c r="J21" i="15"/>
  <c r="F26" i="15"/>
  <c r="F25" i="15"/>
  <c r="F24" i="15"/>
  <c r="F23" i="15"/>
  <c r="F22" i="15"/>
  <c r="F21" i="15"/>
  <c r="K27" i="15"/>
  <c r="K5" i="57" s="1"/>
  <c r="K24" i="15"/>
  <c r="K21" i="15"/>
  <c r="J5" i="57" s="1"/>
  <c r="F28" i="15" l="1"/>
  <c r="F27" i="15"/>
  <c r="F34" i="17" l="1"/>
  <c r="E110" i="17" l="1"/>
  <c r="D110" i="17"/>
  <c r="B110" i="17"/>
  <c r="E109" i="17"/>
  <c r="D109" i="17"/>
  <c r="B109" i="17"/>
  <c r="E108" i="17"/>
  <c r="D108" i="17"/>
  <c r="B108" i="17"/>
  <c r="E107" i="17"/>
  <c r="D107" i="17"/>
  <c r="B107" i="17"/>
  <c r="E106" i="17"/>
  <c r="D106" i="17"/>
  <c r="B106" i="17"/>
  <c r="E105" i="17"/>
  <c r="D105" i="17"/>
  <c r="B105" i="17"/>
  <c r="E104" i="17"/>
  <c r="D104" i="17"/>
  <c r="B104" i="17"/>
  <c r="E103" i="17"/>
  <c r="D103" i="17"/>
  <c r="B103" i="17"/>
  <c r="E102" i="17"/>
  <c r="D102" i="17"/>
  <c r="B102" i="17"/>
  <c r="E101" i="17"/>
  <c r="D101" i="17"/>
  <c r="B101" i="17"/>
  <c r="E100" i="17"/>
  <c r="D100" i="17"/>
  <c r="B100" i="17"/>
  <c r="E99" i="17"/>
  <c r="D99" i="17"/>
  <c r="B99" i="17"/>
  <c r="E98" i="17"/>
  <c r="D98" i="17"/>
  <c r="B98" i="17"/>
  <c r="E97" i="17"/>
  <c r="D97" i="17"/>
  <c r="B97" i="17"/>
  <c r="E96" i="17"/>
  <c r="D96" i="17"/>
  <c r="B96" i="17"/>
  <c r="E95" i="17"/>
  <c r="D95" i="17"/>
  <c r="B95" i="17"/>
  <c r="E94" i="17"/>
  <c r="D94" i="17"/>
  <c r="B94" i="17"/>
  <c r="E93" i="17"/>
  <c r="D93" i="17"/>
  <c r="B93" i="17"/>
  <c r="E92" i="17"/>
  <c r="D92" i="17"/>
  <c r="B92" i="17"/>
  <c r="E91" i="17"/>
  <c r="D91" i="17"/>
  <c r="B91" i="17"/>
  <c r="E90" i="17"/>
  <c r="D90" i="17"/>
  <c r="B90" i="17"/>
  <c r="E89" i="17"/>
  <c r="D89" i="17"/>
  <c r="B89" i="17"/>
  <c r="E88" i="17"/>
  <c r="D88" i="17"/>
  <c r="B88" i="17"/>
  <c r="E87" i="17"/>
  <c r="D87" i="17"/>
  <c r="B87" i="17"/>
  <c r="E86" i="17"/>
  <c r="D86" i="17"/>
  <c r="B86" i="17"/>
  <c r="E85" i="17"/>
  <c r="D85" i="17"/>
  <c r="B85" i="17"/>
  <c r="E84" i="17"/>
  <c r="D84" i="17"/>
  <c r="B84" i="17"/>
  <c r="E83" i="17"/>
  <c r="D83" i="17"/>
  <c r="B83" i="17"/>
  <c r="E82" i="17"/>
  <c r="D82" i="17"/>
  <c r="B82" i="17"/>
  <c r="E81" i="17"/>
  <c r="D81" i="17"/>
  <c r="B81" i="17"/>
  <c r="E80" i="17"/>
  <c r="D80" i="17"/>
  <c r="B80" i="17"/>
  <c r="E79" i="17"/>
  <c r="D79" i="17"/>
  <c r="B79" i="17"/>
  <c r="E78" i="17"/>
  <c r="D78" i="17"/>
  <c r="B78" i="17"/>
  <c r="E77" i="17"/>
  <c r="D77" i="17"/>
  <c r="B77" i="17"/>
  <c r="E76" i="17"/>
  <c r="D76" i="17"/>
  <c r="B76" i="17"/>
  <c r="E75" i="17"/>
  <c r="D75" i="17"/>
  <c r="B75" i="17"/>
  <c r="E74" i="17"/>
  <c r="D74" i="17"/>
  <c r="B74" i="17"/>
  <c r="E73" i="17"/>
  <c r="D73" i="17"/>
  <c r="B73" i="17"/>
  <c r="E72" i="17"/>
  <c r="D72" i="17"/>
  <c r="B72" i="17"/>
  <c r="E71" i="17"/>
  <c r="D71" i="17"/>
  <c r="B71" i="17"/>
  <c r="E70" i="17"/>
  <c r="D70" i="17"/>
  <c r="B70" i="17"/>
  <c r="E69" i="17"/>
  <c r="D69" i="17"/>
  <c r="B69" i="17"/>
  <c r="E68" i="17"/>
  <c r="D68" i="17"/>
  <c r="B68" i="17"/>
  <c r="E67" i="17"/>
  <c r="D67" i="17"/>
  <c r="B67" i="17"/>
  <c r="E66" i="17"/>
  <c r="D66" i="17"/>
  <c r="B66" i="17"/>
  <c r="E65" i="17"/>
  <c r="D65" i="17"/>
  <c r="B65" i="17"/>
  <c r="E64" i="17"/>
  <c r="D64" i="17"/>
  <c r="B64" i="17"/>
  <c r="E63" i="17"/>
  <c r="D63" i="17"/>
  <c r="B63" i="17"/>
  <c r="E62" i="17"/>
  <c r="D62" i="17"/>
  <c r="B62" i="17"/>
  <c r="E61" i="17"/>
  <c r="D61" i="17"/>
  <c r="B61" i="17"/>
  <c r="E60" i="17"/>
  <c r="D60" i="17"/>
  <c r="B60" i="17"/>
  <c r="E59" i="17"/>
  <c r="D59" i="17"/>
  <c r="B59" i="17"/>
  <c r="E58" i="17"/>
  <c r="D58" i="17"/>
  <c r="B58" i="17"/>
  <c r="E57" i="17"/>
  <c r="D57" i="17"/>
  <c r="B57" i="17"/>
  <c r="E56" i="17"/>
  <c r="D56" i="17"/>
  <c r="B56" i="17"/>
  <c r="E55" i="17"/>
  <c r="D55" i="17"/>
  <c r="B55" i="17"/>
  <c r="E54" i="17"/>
  <c r="D54" i="17"/>
  <c r="B54" i="17"/>
  <c r="E53" i="17"/>
  <c r="D53" i="17"/>
  <c r="B53" i="17"/>
  <c r="E52" i="17"/>
  <c r="D52" i="17"/>
  <c r="B52" i="17"/>
  <c r="E51" i="17"/>
  <c r="D51" i="17"/>
  <c r="B51" i="17"/>
  <c r="D46" i="17"/>
  <c r="D45" i="17"/>
  <c r="F43" i="17"/>
  <c r="F42" i="17"/>
  <c r="F41" i="17"/>
  <c r="F40" i="17"/>
  <c r="F38" i="17"/>
  <c r="F37" i="17"/>
  <c r="F36" i="17"/>
  <c r="F33" i="17"/>
  <c r="F35" i="17"/>
  <c r="F31" i="17" l="1"/>
  <c r="F30" i="17"/>
  <c r="F27" i="17"/>
  <c r="F26" i="17"/>
  <c r="F24" i="17"/>
  <c r="F23" i="17"/>
  <c r="F22" i="17"/>
  <c r="F21" i="17"/>
  <c r="Q160" i="59" l="1"/>
  <c r="Q159" i="59"/>
  <c r="Q123" i="59"/>
  <c r="Q122" i="59"/>
  <c r="Q113" i="59"/>
  <c r="Q112" i="59"/>
  <c r="Q87" i="59"/>
  <c r="Q86" i="59"/>
  <c r="Q62" i="59"/>
  <c r="Q174" i="59" l="1"/>
  <c r="Q173" i="59"/>
  <c r="Q171" i="59"/>
  <c r="Q170" i="59"/>
  <c r="Q169" i="59"/>
  <c r="Q168" i="59"/>
  <c r="Q167" i="59"/>
  <c r="Q166" i="59"/>
  <c r="Q164" i="59"/>
  <c r="Q163" i="59"/>
  <c r="Q162" i="59"/>
  <c r="Q161" i="59"/>
  <c r="Q158" i="59"/>
  <c r="Q156" i="59"/>
  <c r="Q155" i="59"/>
  <c r="Q154" i="59"/>
  <c r="Q153" i="59"/>
  <c r="Q152" i="59"/>
  <c r="Q151" i="59"/>
  <c r="Q150" i="59"/>
  <c r="Q149" i="59"/>
  <c r="Q148" i="59"/>
  <c r="Q147" i="59"/>
  <c r="Q146" i="59"/>
  <c r="Q145" i="59"/>
  <c r="Q144" i="59"/>
  <c r="Q143" i="59"/>
  <c r="Q142" i="59"/>
  <c r="Q141" i="59"/>
  <c r="Q140" i="59"/>
  <c r="Q139" i="59"/>
  <c r="Q138" i="59"/>
  <c r="Q137" i="59"/>
  <c r="Q136" i="59"/>
  <c r="Q135" i="59"/>
  <c r="Q134" i="59"/>
  <c r="Q133" i="59"/>
  <c r="Q132" i="59"/>
  <c r="Q131" i="59"/>
  <c r="Q129" i="59"/>
  <c r="Q128" i="59"/>
  <c r="Q127" i="59"/>
  <c r="Q126" i="59"/>
  <c r="Q125" i="59"/>
  <c r="Q124" i="59"/>
  <c r="Q121" i="59"/>
  <c r="Q119" i="59"/>
  <c r="Q118" i="59"/>
  <c r="Q117" i="59"/>
  <c r="Q116" i="59"/>
  <c r="Q115" i="59"/>
  <c r="Q114" i="59"/>
  <c r="Q111" i="59"/>
  <c r="Q110" i="59"/>
  <c r="Q109" i="59"/>
  <c r="Q108" i="59"/>
  <c r="Q107" i="59"/>
  <c r="Q106" i="59"/>
  <c r="Q105" i="59"/>
  <c r="Q104" i="59"/>
  <c r="Q103" i="59"/>
  <c r="Q102" i="59"/>
  <c r="Q101" i="59"/>
  <c r="Q100" i="59"/>
  <c r="Q99" i="59"/>
  <c r="Q98" i="59"/>
  <c r="Q97" i="59"/>
  <c r="Q96" i="59"/>
  <c r="Q95" i="59"/>
  <c r="Q94" i="59"/>
  <c r="Q93" i="59"/>
  <c r="Q92" i="59"/>
  <c r="Q91" i="59"/>
  <c r="Q90" i="59"/>
  <c r="Q89" i="59"/>
  <c r="Q88" i="59"/>
  <c r="Q85" i="59"/>
  <c r="Q83" i="59"/>
  <c r="Q82" i="59"/>
  <c r="Q81" i="59"/>
  <c r="Q80" i="59"/>
  <c r="Q79" i="59"/>
  <c r="Q78" i="59"/>
  <c r="Q77" i="59"/>
  <c r="Q76" i="59"/>
  <c r="Q75" i="59"/>
  <c r="Q74" i="59"/>
  <c r="Q73" i="59"/>
  <c r="Q72" i="59"/>
  <c r="Q71" i="59"/>
  <c r="Q70" i="59"/>
  <c r="Q69" i="59"/>
  <c r="Q68" i="59"/>
  <c r="Q67" i="59"/>
  <c r="Q66" i="59"/>
  <c r="Q65" i="59"/>
  <c r="Q64" i="59"/>
  <c r="Q63" i="59"/>
  <c r="Q60" i="59"/>
  <c r="Q59" i="59"/>
  <c r="Q58" i="59"/>
  <c r="Q57" i="59"/>
  <c r="Q56" i="59"/>
  <c r="Q55" i="59"/>
  <c r="Q54" i="59"/>
  <c r="Q53" i="59"/>
  <c r="Q52" i="59"/>
  <c r="Q51" i="59"/>
  <c r="Q50" i="59"/>
  <c r="Q49" i="59"/>
  <c r="Q48" i="59"/>
  <c r="Q47" i="59"/>
  <c r="Q46" i="59"/>
  <c r="Q45" i="59"/>
  <c r="Q44" i="59"/>
  <c r="Q43" i="59"/>
  <c r="Q42" i="59"/>
  <c r="Q41" i="59"/>
  <c r="Q40" i="59"/>
  <c r="Q39" i="59"/>
  <c r="Q38" i="59"/>
  <c r="Q37" i="59"/>
  <c r="Q36" i="59"/>
  <c r="Q35" i="59"/>
  <c r="Q34" i="59"/>
  <c r="Q33" i="59"/>
  <c r="Q32" i="59"/>
  <c r="Q31" i="59"/>
  <c r="Q30" i="59"/>
  <c r="Q29" i="59"/>
  <c r="Q28" i="59"/>
  <c r="Q27" i="59"/>
  <c r="Q26" i="59"/>
  <c r="Q25" i="59"/>
  <c r="Q24" i="59"/>
  <c r="Q23" i="59"/>
  <c r="Q22" i="59"/>
  <c r="Q21" i="59"/>
  <c r="Q20" i="59"/>
  <c r="Q19" i="59"/>
  <c r="Q18" i="59"/>
  <c r="Q17" i="59"/>
  <c r="Q16" i="59"/>
  <c r="Q15" i="59"/>
  <c r="Q14" i="59"/>
  <c r="Q13" i="59"/>
  <c r="Q12" i="59"/>
  <c r="Q9" i="59"/>
  <c r="Q8" i="59"/>
  <c r="G60" i="12" l="1"/>
  <c r="K60" i="12" s="1"/>
  <c r="G79" i="9"/>
  <c r="G12" i="17" l="1"/>
  <c r="F12" i="17"/>
  <c r="F11" i="17"/>
  <c r="G5" i="9"/>
  <c r="E5" i="9"/>
  <c r="F4" i="14" l="1"/>
  <c r="H48" i="8" l="1"/>
  <c r="N48" i="8"/>
  <c r="E63" i="9"/>
  <c r="F58" i="9"/>
  <c r="G49" i="8" l="1"/>
  <c r="G48" i="8"/>
  <c r="I48" i="8" s="1"/>
  <c r="G50" i="8"/>
  <c r="G51" i="8"/>
  <c r="K51" i="8" s="1"/>
  <c r="E39" i="9" l="1"/>
  <c r="H110" i="17" l="1"/>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H8" i="8" l="1"/>
  <c r="G8" i="8" l="1"/>
  <c r="I8" i="8" s="1"/>
  <c r="G10" i="8"/>
  <c r="H55" i="9" l="1"/>
  <c r="H33" i="9"/>
  <c r="H42" i="8" l="1"/>
  <c r="G44" i="8" l="1"/>
  <c r="G43" i="8"/>
  <c r="AG81" i="17"/>
  <c r="AG63" i="17"/>
  <c r="AG62" i="17"/>
  <c r="AG56" i="17" l="1"/>
  <c r="AG89" i="17" l="1"/>
  <c r="AG88" i="17"/>
  <c r="AG87" i="17"/>
  <c r="AG86" i="17"/>
  <c r="AG85" i="17"/>
  <c r="AG84" i="17"/>
  <c r="AG83" i="17"/>
  <c r="AG82" i="17"/>
  <c r="AG80" i="17"/>
  <c r="AG79" i="17"/>
  <c r="AG78" i="17"/>
  <c r="AG77" i="17"/>
  <c r="AG76" i="17"/>
  <c r="AG75" i="17"/>
  <c r="AG74" i="17"/>
  <c r="AG73" i="17"/>
  <c r="AG72" i="17"/>
  <c r="AG71" i="17"/>
  <c r="AG70" i="17"/>
  <c r="AG69" i="17"/>
  <c r="AG68" i="17"/>
  <c r="AG67" i="17"/>
  <c r="AG66" i="17"/>
  <c r="AG65" i="17"/>
  <c r="AG64" i="17"/>
  <c r="AG61" i="17"/>
  <c r="AG60" i="17"/>
  <c r="AG59" i="17"/>
  <c r="AG58" i="17"/>
  <c r="AG57" i="17"/>
  <c r="AG55" i="17"/>
  <c r="AG54" i="17"/>
  <c r="AG53" i="17"/>
  <c r="AG52" i="17"/>
  <c r="AG51" i="17"/>
  <c r="AG50" i="17"/>
  <c r="AG49" i="17"/>
  <c r="AG48" i="17"/>
  <c r="AG47" i="17"/>
  <c r="AG46" i="17"/>
  <c r="AG45" i="17"/>
  <c r="AG44" i="17"/>
  <c r="AG43" i="17"/>
  <c r="AG42" i="17"/>
  <c r="AG41" i="17"/>
  <c r="AG40" i="17"/>
  <c r="AG39" i="17"/>
  <c r="AG38" i="17"/>
  <c r="AG37" i="17"/>
  <c r="AG36" i="17"/>
  <c r="AG35" i="17"/>
  <c r="AG34" i="17"/>
  <c r="AG33" i="17"/>
  <c r="AG32" i="17"/>
  <c r="AG31" i="17"/>
  <c r="AG30" i="17"/>
  <c r="AG29" i="17"/>
  <c r="AG28" i="17"/>
  <c r="AG27" i="17"/>
  <c r="AG26" i="17"/>
  <c r="AG25" i="17"/>
  <c r="AG24" i="17"/>
  <c r="AG23" i="17"/>
  <c r="AG22" i="17"/>
  <c r="AG21" i="17"/>
  <c r="AG20" i="17"/>
  <c r="AG19" i="17"/>
  <c r="AG18" i="17"/>
  <c r="AG17" i="17"/>
  <c r="AG16" i="17"/>
  <c r="AG15" i="17"/>
  <c r="AG14" i="17"/>
  <c r="AG13" i="17"/>
  <c r="AG12" i="17"/>
  <c r="AG11" i="17"/>
  <c r="AG10" i="17"/>
  <c r="AG9" i="17"/>
  <c r="AG8" i="17"/>
  <c r="AG7" i="17"/>
  <c r="AG6" i="17"/>
  <c r="AG5" i="17"/>
  <c r="Z5" i="17"/>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AG4" i="17"/>
  <c r="Z56" i="17" l="1"/>
  <c r="Z57" i="17" s="1"/>
  <c r="Z58" i="17" s="1"/>
  <c r="Z59" i="17" s="1"/>
  <c r="Z60" i="17" s="1"/>
  <c r="Z61" i="17" s="1"/>
  <c r="F59" i="9"/>
  <c r="Z62" i="17" l="1"/>
  <c r="Z63" i="17" s="1"/>
  <c r="Z64" i="17" s="1"/>
  <c r="Z65" i="17" s="1"/>
  <c r="Z66" i="17" s="1"/>
  <c r="Z67" i="17" s="1"/>
  <c r="Z68" i="17" s="1"/>
  <c r="Z69" i="17" s="1"/>
  <c r="Z70" i="17" s="1"/>
  <c r="Z71" i="17" s="1"/>
  <c r="Z72" i="17" s="1"/>
  <c r="Z73" i="17" s="1"/>
  <c r="Z74" i="17" s="1"/>
  <c r="Z75" i="17" s="1"/>
  <c r="Z76" i="17" s="1"/>
  <c r="Z77" i="17" s="1"/>
  <c r="Z78" i="17" s="1"/>
  <c r="Z79" i="17" s="1"/>
  <c r="Z80" i="17" s="1"/>
  <c r="Z81" i="17" l="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F57" i="9" l="1"/>
  <c r="F56" i="9"/>
  <c r="E72" i="9" l="1"/>
  <c r="E71" i="9"/>
  <c r="E69" i="9"/>
  <c r="E68" i="9"/>
  <c r="E66" i="9"/>
  <c r="E65" i="9"/>
  <c r="E51" i="9"/>
  <c r="E50" i="9"/>
  <c r="E48" i="9"/>
  <c r="E47" i="9"/>
  <c r="E44" i="9"/>
  <c r="E45" i="9"/>
  <c r="H12" i="56" l="1"/>
  <c r="C15" i="56" s="1"/>
  <c r="E36" i="9" l="1"/>
  <c r="E35" i="9"/>
  <c r="E40" i="9"/>
  <c r="E38" i="9"/>
  <c r="E37" i="9"/>
  <c r="E24" i="9"/>
  <c r="J20" i="4" l="1"/>
  <c r="J8" i="4" l="1"/>
  <c r="J33" i="4" l="1"/>
  <c r="K102" i="30" l="1"/>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K65" i="30"/>
  <c r="K64" i="30"/>
  <c r="K63" i="30"/>
  <c r="K62" i="30"/>
  <c r="K61" i="30"/>
  <c r="K60" i="30"/>
  <c r="K59" i="30"/>
  <c r="K58" i="30"/>
  <c r="K57" i="30"/>
  <c r="K56" i="30"/>
  <c r="K55" i="30"/>
  <c r="J37" i="4"/>
  <c r="J43" i="4"/>
  <c r="J27" i="4"/>
  <c r="J26" i="4"/>
  <c r="J25" i="4"/>
  <c r="J24" i="4"/>
  <c r="I12" i="16"/>
  <c r="K12" i="16" s="1"/>
  <c r="K28" i="15"/>
  <c r="F29" i="15" s="1"/>
  <c r="G15" i="8" l="1"/>
  <c r="G29" i="8" l="1"/>
  <c r="G32" i="8" l="1"/>
  <c r="G36" i="8"/>
  <c r="G35" i="8"/>
  <c r="G34" i="8"/>
  <c r="G33" i="8"/>
  <c r="G31" i="8"/>
  <c r="G30" i="8"/>
  <c r="G37" i="8"/>
  <c r="K37" i="8" s="1"/>
  <c r="W5" i="57" l="1"/>
  <c r="V5" i="57"/>
  <c r="Q5" i="57"/>
  <c r="P5" i="57"/>
  <c r="O5" i="57"/>
  <c r="N5" i="57"/>
  <c r="M5" i="57"/>
  <c r="L5" i="57"/>
  <c r="I5" i="57"/>
  <c r="H5" i="57"/>
  <c r="G5" i="57"/>
  <c r="F5" i="57"/>
  <c r="E5" i="57"/>
  <c r="D5" i="57"/>
  <c r="C5" i="57"/>
  <c r="A7" i="57"/>
  <c r="I36" i="16" l="1"/>
  <c r="I31" i="16" l="1"/>
  <c r="G17" i="8" l="1"/>
  <c r="I17" i="8" s="1"/>
  <c r="G19" i="8"/>
  <c r="I19" i="8" s="1"/>
  <c r="G16" i="8"/>
  <c r="G14" i="8"/>
  <c r="G21" i="8"/>
  <c r="I21" i="8" s="1"/>
  <c r="G20" i="8"/>
  <c r="I20" i="8" s="1"/>
  <c r="G18" i="8"/>
  <c r="I18" i="8" s="1"/>
  <c r="I16" i="8" l="1"/>
  <c r="J21" i="4"/>
  <c r="J14" i="4" l="1"/>
  <c r="J13" i="4"/>
  <c r="J12" i="4"/>
  <c r="J11" i="4"/>
  <c r="J10" i="4"/>
  <c r="J7" i="4"/>
  <c r="O9" i="16" l="1"/>
  <c r="I14" i="16"/>
  <c r="I13" i="16"/>
  <c r="E62" i="9"/>
  <c r="E61" i="9" l="1"/>
  <c r="H20" i="9" l="1"/>
  <c r="H34" i="9" s="1"/>
  <c r="H32" i="9" l="1"/>
  <c r="E34" i="9" s="1"/>
  <c r="K35" i="16"/>
  <c r="G34" i="9" l="1"/>
  <c r="H26" i="12"/>
  <c r="C24" i="55" l="1"/>
  <c r="D24" i="55"/>
  <c r="B14" i="55" s="1"/>
  <c r="B30" i="55"/>
  <c r="C18" i="55"/>
  <c r="C17" i="55"/>
  <c r="C20" i="55" l="1"/>
  <c r="D21" i="55" s="1"/>
  <c r="D22" i="55"/>
  <c r="C23" i="55"/>
  <c r="C26" i="55"/>
  <c r="D26" i="55" s="1"/>
  <c r="C25" i="55"/>
  <c r="C14" i="55" s="1"/>
  <c r="D43" i="55" l="1"/>
  <c r="D20" i="55"/>
  <c r="D23" i="55"/>
  <c r="B9" i="55" s="1"/>
  <c r="B10" i="55"/>
  <c r="C13" i="55"/>
  <c r="C12" i="55"/>
  <c r="C11" i="55"/>
  <c r="C10" i="55"/>
  <c r="C9" i="55"/>
  <c r="D25" i="55"/>
  <c r="C30" i="55"/>
  <c r="B28" i="55"/>
  <c r="G30" i="55"/>
  <c r="H30" i="55"/>
  <c r="D30" i="55"/>
  <c r="F30" i="55" l="1"/>
  <c r="E30" i="55"/>
  <c r="B13" i="55"/>
  <c r="B12" i="55"/>
  <c r="B11" i="55"/>
  <c r="C33" i="55" l="1"/>
  <c r="C35" i="55" s="1"/>
  <c r="C22" i="12"/>
  <c r="D41" i="55"/>
  <c r="D47" i="55"/>
  <c r="D42" i="55"/>
  <c r="D48" i="55"/>
  <c r="C34" i="55" l="1"/>
  <c r="C6" i="55"/>
  <c r="D45" i="55"/>
  <c r="D39" i="55"/>
  <c r="D46" i="55"/>
  <c r="D44" i="55"/>
  <c r="D40" i="55"/>
  <c r="D38" i="55"/>
  <c r="C21" i="12" l="1"/>
  <c r="E8" i="43" l="1"/>
  <c r="J103" i="30" l="1"/>
  <c r="J102" i="30"/>
  <c r="J101" i="30"/>
  <c r="J100" i="30"/>
  <c r="J99" i="30"/>
  <c r="J98" i="30"/>
  <c r="J97" i="30"/>
  <c r="J96" i="30"/>
  <c r="J95" i="30"/>
  <c r="J94" i="30"/>
  <c r="J93" i="30"/>
  <c r="J92" i="30"/>
  <c r="J91" i="30"/>
  <c r="J90" i="30"/>
  <c r="J89" i="30"/>
  <c r="J88" i="30"/>
  <c r="J87" i="30"/>
  <c r="J86" i="30"/>
  <c r="J85" i="30"/>
  <c r="J84" i="30"/>
  <c r="J83" i="30"/>
  <c r="J82" i="30"/>
  <c r="J81" i="30"/>
  <c r="J80" i="30"/>
  <c r="J79" i="30"/>
  <c r="J78" i="30"/>
  <c r="J77" i="30"/>
  <c r="J76" i="30"/>
  <c r="J75" i="30"/>
  <c r="J74" i="30"/>
  <c r="J73" i="30"/>
  <c r="J72" i="30"/>
  <c r="J71" i="30"/>
  <c r="J70" i="30"/>
  <c r="J69" i="30"/>
  <c r="J68" i="30"/>
  <c r="J67" i="30"/>
  <c r="J66" i="30"/>
  <c r="J65" i="30"/>
  <c r="J64" i="30"/>
  <c r="J63" i="30"/>
  <c r="J62" i="30"/>
  <c r="J61" i="30"/>
  <c r="J60" i="30"/>
  <c r="J59" i="30"/>
  <c r="J58" i="30"/>
  <c r="J57" i="30"/>
  <c r="J56" i="30"/>
  <c r="J55" i="30"/>
  <c r="J54" i="30"/>
  <c r="J48" i="16" l="1"/>
  <c r="G24" i="8" l="1"/>
  <c r="C3" i="55" l="1"/>
  <c r="H25" i="12"/>
  <c r="H24" i="12"/>
  <c r="H30" i="12"/>
  <c r="H29" i="12"/>
  <c r="F14" i="12"/>
  <c r="F13" i="12"/>
  <c r="D40" i="17"/>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O268" i="16"/>
  <c r="O269" i="16"/>
  <c r="O270" i="16"/>
  <c r="O271" i="16"/>
  <c r="O272" i="16"/>
  <c r="O273" i="16"/>
  <c r="O274" i="16"/>
  <c r="O275" i="16"/>
  <c r="O276" i="16"/>
  <c r="O277" i="16"/>
  <c r="O278" i="16"/>
  <c r="O279" i="16"/>
  <c r="O280" i="16"/>
  <c r="O281" i="16"/>
  <c r="O282" i="16"/>
  <c r="O283" i="16"/>
  <c r="O284" i="16"/>
  <c r="O285" i="16"/>
  <c r="O286" i="16"/>
  <c r="O287" i="16"/>
  <c r="O288" i="16"/>
  <c r="O289" i="16"/>
  <c r="O290" i="16"/>
  <c r="O291" i="16"/>
  <c r="O292" i="16"/>
  <c r="O293" i="16"/>
  <c r="O294" i="16"/>
  <c r="O295" i="16"/>
  <c r="O296" i="16"/>
  <c r="O297" i="16"/>
  <c r="O298" i="16"/>
  <c r="O299" i="16"/>
  <c r="O300" i="16"/>
  <c r="O301" i="16"/>
  <c r="O302" i="16"/>
  <c r="O303" i="16"/>
  <c r="O304" i="16"/>
  <c r="O305" i="16"/>
  <c r="O306" i="16"/>
  <c r="O307" i="16"/>
  <c r="O308" i="16"/>
  <c r="O309" i="16"/>
  <c r="O310" i="16"/>
  <c r="O311" i="16"/>
  <c r="O312" i="16"/>
  <c r="O313" i="16"/>
  <c r="O314" i="16"/>
  <c r="O315" i="16"/>
  <c r="O316" i="16"/>
  <c r="O317" i="16"/>
  <c r="O318" i="16"/>
  <c r="O319" i="16"/>
  <c r="O320" i="16"/>
  <c r="O321" i="16"/>
  <c r="O322" i="16"/>
  <c r="O323" i="16"/>
  <c r="O324" i="16"/>
  <c r="O325" i="16"/>
  <c r="O326" i="16"/>
  <c r="O327" i="16"/>
  <c r="O328" i="16"/>
  <c r="O329" i="16"/>
  <c r="O330" i="16"/>
  <c r="O331" i="16"/>
  <c r="O332" i="16"/>
  <c r="O333" i="16"/>
  <c r="O334" i="16"/>
  <c r="O335" i="16"/>
  <c r="O336" i="16"/>
  <c r="O337" i="16"/>
  <c r="O338" i="16"/>
  <c r="O339" i="16"/>
  <c r="O340" i="16"/>
  <c r="L48" i="15"/>
  <c r="K48" i="15"/>
  <c r="H27" i="12" l="1"/>
  <c r="H28" i="12"/>
  <c r="K28" i="12" s="1"/>
  <c r="S48" i="4" l="1"/>
  <c r="R48" i="4"/>
  <c r="G36" i="43"/>
  <c r="I33" i="43" s="1"/>
  <c r="I9" i="16"/>
  <c r="D35" i="17"/>
  <c r="G19" i="15"/>
  <c r="K9" i="16" l="1"/>
  <c r="K29" i="4"/>
  <c r="H14" i="12" l="1"/>
  <c r="K30" i="12" s="1"/>
  <c r="W40" i="17"/>
  <c r="G11" i="17"/>
  <c r="E3" i="12"/>
  <c r="D3" i="40"/>
  <c r="D3" i="27"/>
  <c r="S103" i="30"/>
  <c r="S102" i="30"/>
  <c r="S101" i="30"/>
  <c r="S100" i="30"/>
  <c r="S99" i="30"/>
  <c r="S98" i="30"/>
  <c r="S97" i="30"/>
  <c r="S96" i="30"/>
  <c r="S95" i="30"/>
  <c r="S94" i="30"/>
  <c r="S93" i="30"/>
  <c r="S92" i="30"/>
  <c r="S91" i="30"/>
  <c r="S90" i="30"/>
  <c r="S89" i="30"/>
  <c r="S88" i="30"/>
  <c r="S87" i="30"/>
  <c r="S86" i="30"/>
  <c r="S85" i="30"/>
  <c r="S84" i="30"/>
  <c r="S83" i="30"/>
  <c r="S82" i="30"/>
  <c r="S81" i="30"/>
  <c r="S80" i="30"/>
  <c r="S79" i="30"/>
  <c r="S78" i="30"/>
  <c r="S77" i="30"/>
  <c r="S76" i="30"/>
  <c r="S75" i="30"/>
  <c r="S74" i="30"/>
  <c r="S73" i="30"/>
  <c r="S72" i="30"/>
  <c r="S71" i="30"/>
  <c r="S70" i="30"/>
  <c r="S69" i="30"/>
  <c r="S68" i="30"/>
  <c r="S67" i="30"/>
  <c r="S66" i="30"/>
  <c r="S65" i="30"/>
  <c r="S64" i="30"/>
  <c r="S63" i="30"/>
  <c r="S62" i="30"/>
  <c r="S61" i="30"/>
  <c r="S60" i="30"/>
  <c r="S59" i="30"/>
  <c r="S58" i="30"/>
  <c r="T103" i="30"/>
  <c r="T102" i="30"/>
  <c r="T101" i="30"/>
  <c r="T100" i="30"/>
  <c r="T99" i="30"/>
  <c r="T98" i="30"/>
  <c r="T97" i="30"/>
  <c r="T96" i="30"/>
  <c r="T95" i="30"/>
  <c r="T94" i="30"/>
  <c r="T93" i="30"/>
  <c r="T92" i="30"/>
  <c r="T91" i="30"/>
  <c r="T90" i="30"/>
  <c r="T89" i="30"/>
  <c r="T88" i="30"/>
  <c r="T87" i="30"/>
  <c r="T86" i="30"/>
  <c r="T85" i="30"/>
  <c r="T84" i="30"/>
  <c r="T83" i="30"/>
  <c r="T82" i="30"/>
  <c r="T81" i="30"/>
  <c r="T80" i="30"/>
  <c r="T79" i="30"/>
  <c r="T78" i="30"/>
  <c r="T77" i="30"/>
  <c r="T76" i="30"/>
  <c r="T75" i="30"/>
  <c r="T74" i="30"/>
  <c r="T73" i="30"/>
  <c r="T72" i="30"/>
  <c r="T71" i="30"/>
  <c r="T70" i="30"/>
  <c r="T69" i="30"/>
  <c r="T68" i="30"/>
  <c r="T67" i="30"/>
  <c r="T66" i="30"/>
  <c r="T65" i="30"/>
  <c r="T64" i="30"/>
  <c r="T63" i="30"/>
  <c r="T62" i="30"/>
  <c r="T61" i="30"/>
  <c r="T60" i="30"/>
  <c r="T59" i="30"/>
  <c r="T58" i="30"/>
  <c r="T57" i="30"/>
  <c r="T56" i="30"/>
  <c r="T55" i="30"/>
  <c r="T54" i="30"/>
  <c r="S57" i="30"/>
  <c r="S56" i="30"/>
  <c r="S55" i="30"/>
  <c r="S54" i="30"/>
  <c r="V55" i="30"/>
  <c r="V103" i="30"/>
  <c r="K103" i="30" s="1"/>
  <c r="U103" i="30"/>
  <c r="W103" i="30" s="1"/>
  <c r="V102" i="30"/>
  <c r="U102" i="30"/>
  <c r="W102" i="30" s="1"/>
  <c r="V101" i="30"/>
  <c r="U101" i="30"/>
  <c r="W101" i="30" s="1"/>
  <c r="V100" i="30"/>
  <c r="U100" i="30"/>
  <c r="W100" i="30" s="1"/>
  <c r="V99" i="30"/>
  <c r="U99" i="30"/>
  <c r="W99" i="30" s="1"/>
  <c r="V98" i="30"/>
  <c r="U98" i="30"/>
  <c r="W98" i="30" s="1"/>
  <c r="V97" i="30"/>
  <c r="U97" i="30"/>
  <c r="W97" i="30" s="1"/>
  <c r="V96" i="30"/>
  <c r="U96" i="30"/>
  <c r="W96" i="30" s="1"/>
  <c r="V95" i="30"/>
  <c r="U95" i="30"/>
  <c r="W95" i="30" s="1"/>
  <c r="V94" i="30"/>
  <c r="U94" i="30"/>
  <c r="W94" i="30" s="1"/>
  <c r="V93" i="30"/>
  <c r="U93" i="30"/>
  <c r="W93" i="30" s="1"/>
  <c r="V92" i="30"/>
  <c r="U92" i="30"/>
  <c r="W92" i="30" s="1"/>
  <c r="V91" i="30"/>
  <c r="U91" i="30"/>
  <c r="W91" i="30" s="1"/>
  <c r="V90" i="30"/>
  <c r="U90" i="30"/>
  <c r="W90" i="30" s="1"/>
  <c r="V89" i="30"/>
  <c r="U89" i="30"/>
  <c r="W89" i="30" s="1"/>
  <c r="V88" i="30"/>
  <c r="U88" i="30"/>
  <c r="W88" i="30" s="1"/>
  <c r="V87" i="30"/>
  <c r="U87" i="30"/>
  <c r="W87" i="30" s="1"/>
  <c r="V86" i="30"/>
  <c r="U86" i="30"/>
  <c r="W86" i="30" s="1"/>
  <c r="V85" i="30"/>
  <c r="U85" i="30"/>
  <c r="W85" i="30" s="1"/>
  <c r="V84" i="30"/>
  <c r="U84" i="30"/>
  <c r="W84" i="30" s="1"/>
  <c r="V83" i="30"/>
  <c r="U83" i="30"/>
  <c r="W83" i="30" s="1"/>
  <c r="V82" i="30"/>
  <c r="U82" i="30"/>
  <c r="W82" i="30" s="1"/>
  <c r="V81" i="30"/>
  <c r="U81" i="30"/>
  <c r="W81" i="30" s="1"/>
  <c r="V80" i="30"/>
  <c r="U80" i="30"/>
  <c r="W80" i="30" s="1"/>
  <c r="V79" i="30"/>
  <c r="U79" i="30"/>
  <c r="W79" i="30" s="1"/>
  <c r="V78" i="30"/>
  <c r="U78" i="30"/>
  <c r="W78" i="30" s="1"/>
  <c r="V77" i="30"/>
  <c r="U77" i="30"/>
  <c r="W77" i="30" s="1"/>
  <c r="V76" i="30"/>
  <c r="U76" i="30"/>
  <c r="W76" i="30" s="1"/>
  <c r="V75" i="30"/>
  <c r="U75" i="30"/>
  <c r="W75" i="30" s="1"/>
  <c r="V74" i="30"/>
  <c r="U74" i="30"/>
  <c r="W74" i="30" s="1"/>
  <c r="V73" i="30"/>
  <c r="U73" i="30"/>
  <c r="W73" i="30" s="1"/>
  <c r="V72" i="30"/>
  <c r="U72" i="30"/>
  <c r="W72" i="30" s="1"/>
  <c r="V71" i="30"/>
  <c r="U71" i="30"/>
  <c r="W71" i="30" s="1"/>
  <c r="V70" i="30"/>
  <c r="U70" i="30"/>
  <c r="W70" i="30" s="1"/>
  <c r="V69" i="30"/>
  <c r="U69" i="30"/>
  <c r="W69" i="30" s="1"/>
  <c r="V68" i="30"/>
  <c r="U68" i="30"/>
  <c r="W68" i="30" s="1"/>
  <c r="V67" i="30"/>
  <c r="U67" i="30"/>
  <c r="W67" i="30" s="1"/>
  <c r="V66" i="30"/>
  <c r="U66" i="30"/>
  <c r="W66" i="30" s="1"/>
  <c r="V65" i="30"/>
  <c r="U65" i="30"/>
  <c r="W65" i="30" s="1"/>
  <c r="V64" i="30"/>
  <c r="U64" i="30"/>
  <c r="W64" i="30" s="1"/>
  <c r="V63" i="30"/>
  <c r="U63" i="30"/>
  <c r="W63" i="30" s="1"/>
  <c r="V62" i="30"/>
  <c r="U62" i="30"/>
  <c r="W62" i="30" s="1"/>
  <c r="V61" i="30"/>
  <c r="U61" i="30"/>
  <c r="W61" i="30" s="1"/>
  <c r="V60" i="30"/>
  <c r="U60" i="30"/>
  <c r="W60" i="30" s="1"/>
  <c r="V59" i="30"/>
  <c r="U59" i="30"/>
  <c r="W59" i="30" s="1"/>
  <c r="V58" i="30"/>
  <c r="U58" i="30"/>
  <c r="W58" i="30" s="1"/>
  <c r="V57" i="30"/>
  <c r="U57" i="30"/>
  <c r="W57" i="30" s="1"/>
  <c r="V56" i="30"/>
  <c r="U56" i="30"/>
  <c r="W56" i="30" s="1"/>
  <c r="U55" i="30"/>
  <c r="W55" i="30" s="1"/>
  <c r="V54" i="30"/>
  <c r="K54" i="30" s="1"/>
  <c r="D3" i="30"/>
  <c r="N45" i="8"/>
  <c r="G45" i="8" s="1"/>
  <c r="I45" i="8" s="1"/>
  <c r="N42" i="8"/>
  <c r="G42" i="8" s="1"/>
  <c r="I42" i="8" s="1"/>
  <c r="N38" i="8"/>
  <c r="G38" i="8" s="1"/>
  <c r="G23" i="8"/>
  <c r="E3" i="8"/>
  <c r="E3" i="43"/>
  <c r="R27" i="4"/>
  <c r="R26" i="4"/>
  <c r="R25" i="4"/>
  <c r="R24" i="4"/>
  <c r="J23" i="4"/>
  <c r="K25" i="15"/>
  <c r="K22" i="15"/>
  <c r="I23" i="15" s="1"/>
  <c r="R23" i="4" l="1"/>
  <c r="J14" i="12"/>
  <c r="K14" i="12"/>
  <c r="K26" i="12"/>
  <c r="K29" i="12"/>
  <c r="K24" i="12"/>
  <c r="K25" i="12"/>
  <c r="C55" i="30"/>
  <c r="C56" i="30"/>
  <c r="C58" i="30"/>
  <c r="C66" i="30"/>
  <c r="C74" i="30"/>
  <c r="C82" i="30"/>
  <c r="C90" i="30"/>
  <c r="C98" i="30"/>
  <c r="C57" i="30"/>
  <c r="C62" i="30"/>
  <c r="C70" i="30"/>
  <c r="C78" i="30"/>
  <c r="C86" i="30"/>
  <c r="C94" i="30"/>
  <c r="C102" i="30"/>
  <c r="C59" i="30"/>
  <c r="C63" i="30"/>
  <c r="C67" i="30"/>
  <c r="C71" i="30"/>
  <c r="C75" i="30"/>
  <c r="C79" i="30"/>
  <c r="C83" i="30"/>
  <c r="C87" i="30"/>
  <c r="C91" i="30"/>
  <c r="C95" i="30"/>
  <c r="C99" i="30"/>
  <c r="C103" i="30"/>
  <c r="C61" i="30"/>
  <c r="C65" i="30"/>
  <c r="C69" i="30"/>
  <c r="C73" i="30"/>
  <c r="C77" i="30"/>
  <c r="C81" i="30"/>
  <c r="C85" i="30"/>
  <c r="C89" i="30"/>
  <c r="C93" i="30"/>
  <c r="C97" i="30"/>
  <c r="C101" i="30"/>
  <c r="C60" i="30"/>
  <c r="C64" i="30"/>
  <c r="C68" i="30"/>
  <c r="C72" i="30"/>
  <c r="C76" i="30"/>
  <c r="C80" i="30"/>
  <c r="C84" i="30"/>
  <c r="C88" i="30"/>
  <c r="C92" i="30"/>
  <c r="C96" i="30"/>
  <c r="C100" i="30"/>
  <c r="C54" i="30"/>
  <c r="E3" i="16"/>
  <c r="E3" i="9"/>
  <c r="F3" i="4" l="1"/>
  <c r="T36" i="4" l="1"/>
  <c r="T34" i="4"/>
  <c r="I50" i="16" l="1"/>
  <c r="J28" i="4" l="1"/>
  <c r="N136" i="43"/>
  <c r="L136" i="43"/>
  <c r="M136" i="43" s="1"/>
  <c r="N135" i="43"/>
  <c r="L135" i="43"/>
  <c r="M135" i="43" s="1"/>
  <c r="N134" i="43"/>
  <c r="L134" i="43"/>
  <c r="M134" i="43" s="1"/>
  <c r="N133" i="43"/>
  <c r="L133" i="43"/>
  <c r="M133" i="43" s="1"/>
  <c r="N132" i="43"/>
  <c r="L132" i="43"/>
  <c r="M132" i="43" s="1"/>
  <c r="N131" i="43"/>
  <c r="L131" i="43"/>
  <c r="M131" i="43" s="1"/>
  <c r="N130" i="43"/>
  <c r="L130" i="43"/>
  <c r="M130" i="43" s="1"/>
  <c r="N129" i="43"/>
  <c r="L129" i="43"/>
  <c r="M129" i="43" s="1"/>
  <c r="N128" i="43"/>
  <c r="L128" i="43"/>
  <c r="M128" i="43" s="1"/>
  <c r="N127" i="43"/>
  <c r="L127" i="43"/>
  <c r="M127" i="43" s="1"/>
  <c r="N126" i="43"/>
  <c r="L126" i="43"/>
  <c r="M126" i="43" s="1"/>
  <c r="N125" i="43"/>
  <c r="L125" i="43"/>
  <c r="M125" i="43" s="1"/>
  <c r="N124" i="43"/>
  <c r="L124" i="43"/>
  <c r="M124" i="43" s="1"/>
  <c r="N123" i="43"/>
  <c r="L123" i="43"/>
  <c r="M123" i="43" s="1"/>
  <c r="N122" i="43"/>
  <c r="L122" i="43"/>
  <c r="M122" i="43" s="1"/>
  <c r="N121" i="43"/>
  <c r="L121" i="43"/>
  <c r="M121" i="43" s="1"/>
  <c r="N120" i="43"/>
  <c r="L120" i="43"/>
  <c r="M120" i="43" s="1"/>
  <c r="N119" i="43"/>
  <c r="L119" i="43"/>
  <c r="M119" i="43" s="1"/>
  <c r="N118" i="43"/>
  <c r="L118" i="43"/>
  <c r="M118" i="43" s="1"/>
  <c r="N117" i="43"/>
  <c r="L117" i="43"/>
  <c r="M117" i="43" s="1"/>
  <c r="N116" i="43"/>
  <c r="L116" i="43"/>
  <c r="M116" i="43" s="1"/>
  <c r="N115" i="43"/>
  <c r="L115" i="43"/>
  <c r="M115" i="43" s="1"/>
  <c r="N114" i="43"/>
  <c r="L114" i="43"/>
  <c r="M114" i="43" s="1"/>
  <c r="N113" i="43"/>
  <c r="L113" i="43"/>
  <c r="M113" i="43" s="1"/>
  <c r="N112" i="43"/>
  <c r="L112" i="43"/>
  <c r="M112" i="43" s="1"/>
  <c r="N111" i="43"/>
  <c r="L111" i="43"/>
  <c r="M111" i="43" s="1"/>
  <c r="N110" i="43"/>
  <c r="L110" i="43"/>
  <c r="M110" i="43" s="1"/>
  <c r="N109" i="43"/>
  <c r="L109" i="43"/>
  <c r="M109" i="43" s="1"/>
  <c r="N108" i="43"/>
  <c r="L108" i="43"/>
  <c r="M108" i="43" s="1"/>
  <c r="N107" i="43"/>
  <c r="L107" i="43"/>
  <c r="M107" i="43" s="1"/>
  <c r="N106" i="43"/>
  <c r="L106" i="43"/>
  <c r="M106" i="43" s="1"/>
  <c r="N105" i="43"/>
  <c r="L105" i="43"/>
  <c r="M105" i="43" s="1"/>
  <c r="N104" i="43"/>
  <c r="L104" i="43"/>
  <c r="M104" i="43" s="1"/>
  <c r="N103" i="43"/>
  <c r="L103" i="43"/>
  <c r="M103" i="43" s="1"/>
  <c r="N102" i="43"/>
  <c r="L102" i="43"/>
  <c r="M102" i="43" s="1"/>
  <c r="N101" i="43"/>
  <c r="L101" i="43"/>
  <c r="M101" i="43" s="1"/>
  <c r="N100" i="43"/>
  <c r="L100" i="43"/>
  <c r="M100" i="43" s="1"/>
  <c r="N99" i="43"/>
  <c r="L99" i="43"/>
  <c r="M99" i="43" s="1"/>
  <c r="N98" i="43"/>
  <c r="L98" i="43"/>
  <c r="M98" i="43" s="1"/>
  <c r="N97" i="43"/>
  <c r="L97" i="43"/>
  <c r="M97" i="43" s="1"/>
  <c r="N96" i="43"/>
  <c r="L96" i="43"/>
  <c r="M96" i="43" s="1"/>
  <c r="N95" i="43"/>
  <c r="L95" i="43"/>
  <c r="M95" i="43" s="1"/>
  <c r="N94" i="43"/>
  <c r="L94" i="43"/>
  <c r="M94" i="43" s="1"/>
  <c r="N93" i="43"/>
  <c r="L93" i="43"/>
  <c r="M93" i="43" s="1"/>
  <c r="N92" i="43"/>
  <c r="L92" i="43"/>
  <c r="M92" i="43" s="1"/>
  <c r="N91" i="43"/>
  <c r="L91" i="43"/>
  <c r="M91" i="43" s="1"/>
  <c r="N90" i="43"/>
  <c r="L90" i="43"/>
  <c r="M90" i="43" s="1"/>
  <c r="N89" i="43"/>
  <c r="L89" i="43"/>
  <c r="M89" i="43" s="1"/>
  <c r="N88" i="43"/>
  <c r="L88" i="43"/>
  <c r="M88" i="43" s="1"/>
  <c r="N87" i="43"/>
  <c r="L87" i="43"/>
  <c r="M87" i="43" s="1"/>
  <c r="N86" i="43"/>
  <c r="L86" i="43"/>
  <c r="M86" i="43" s="1"/>
  <c r="N85" i="43"/>
  <c r="L85" i="43"/>
  <c r="M85" i="43" s="1"/>
  <c r="N84" i="43"/>
  <c r="L84" i="43"/>
  <c r="M84" i="43" s="1"/>
  <c r="N83" i="43"/>
  <c r="L83" i="43"/>
  <c r="M83" i="43" s="1"/>
  <c r="N82" i="43"/>
  <c r="L82" i="43"/>
  <c r="M82" i="43" s="1"/>
  <c r="N81" i="43"/>
  <c r="L81" i="43"/>
  <c r="M81" i="43" s="1"/>
  <c r="N80" i="43"/>
  <c r="L80" i="43"/>
  <c r="M80" i="43" s="1"/>
  <c r="N79" i="43"/>
  <c r="L79" i="43"/>
  <c r="M79" i="43" s="1"/>
  <c r="N78" i="43"/>
  <c r="L78" i="43"/>
  <c r="M78" i="43" s="1"/>
  <c r="N77" i="43"/>
  <c r="L77" i="43"/>
  <c r="M77" i="43" s="1"/>
  <c r="N76" i="43"/>
  <c r="L76" i="43"/>
  <c r="M76" i="43" s="1"/>
  <c r="N75" i="43"/>
  <c r="L75" i="43"/>
  <c r="M75" i="43" s="1"/>
  <c r="N74" i="43"/>
  <c r="L74" i="43"/>
  <c r="M74" i="43" s="1"/>
  <c r="N73" i="43"/>
  <c r="L73" i="43"/>
  <c r="M73" i="43" s="1"/>
  <c r="N72" i="43"/>
  <c r="L72" i="43"/>
  <c r="M72" i="43" s="1"/>
  <c r="N71" i="43"/>
  <c r="L71" i="43"/>
  <c r="M71" i="43" s="1"/>
  <c r="N70" i="43"/>
  <c r="L70" i="43"/>
  <c r="M70" i="43" s="1"/>
  <c r="N69" i="43"/>
  <c r="L69" i="43"/>
  <c r="M69" i="43" s="1"/>
  <c r="N68" i="43"/>
  <c r="L68" i="43"/>
  <c r="M68" i="43" s="1"/>
  <c r="N67" i="43"/>
  <c r="L67" i="43"/>
  <c r="M67" i="43" s="1"/>
  <c r="N66" i="43"/>
  <c r="L66" i="43"/>
  <c r="M66" i="43" s="1"/>
  <c r="N65" i="43"/>
  <c r="L65" i="43"/>
  <c r="M65" i="43" s="1"/>
  <c r="N64" i="43"/>
  <c r="L64" i="43"/>
  <c r="M64" i="43" s="1"/>
  <c r="N63" i="43"/>
  <c r="L63" i="43"/>
  <c r="M63" i="43" s="1"/>
  <c r="N62" i="43"/>
  <c r="L62" i="43"/>
  <c r="M62" i="43" s="1"/>
  <c r="N61" i="43"/>
  <c r="L61" i="43"/>
  <c r="M61" i="43" s="1"/>
  <c r="N60" i="43"/>
  <c r="L60" i="43"/>
  <c r="M60" i="43" s="1"/>
  <c r="N59" i="43"/>
  <c r="L59" i="43"/>
  <c r="M59" i="43" s="1"/>
  <c r="N58" i="43"/>
  <c r="L58" i="43"/>
  <c r="M58" i="43" s="1"/>
  <c r="N57" i="43"/>
  <c r="L57" i="43"/>
  <c r="M57" i="43" s="1"/>
  <c r="N56" i="43"/>
  <c r="L56" i="43"/>
  <c r="M56" i="43" s="1"/>
  <c r="N55" i="43"/>
  <c r="L55" i="43"/>
  <c r="M55" i="43" s="1"/>
  <c r="N54" i="43"/>
  <c r="L54" i="43"/>
  <c r="M54" i="43" s="1"/>
  <c r="N53" i="43"/>
  <c r="L53" i="43"/>
  <c r="M53" i="43" s="1"/>
  <c r="N52" i="43"/>
  <c r="L52" i="43"/>
  <c r="M52" i="43" s="1"/>
  <c r="N51" i="43"/>
  <c r="L51" i="43"/>
  <c r="M51" i="43" s="1"/>
  <c r="N50" i="43"/>
  <c r="L50" i="43"/>
  <c r="M50" i="43" s="1"/>
  <c r="N49" i="43"/>
  <c r="L49" i="43"/>
  <c r="M49" i="43" s="1"/>
  <c r="N48" i="43"/>
  <c r="L48" i="43"/>
  <c r="M48" i="43" s="1"/>
  <c r="N47" i="43"/>
  <c r="L47" i="43"/>
  <c r="M47" i="43" s="1"/>
  <c r="N46" i="43"/>
  <c r="L46" i="43"/>
  <c r="M46" i="43" s="1"/>
  <c r="N45" i="43"/>
  <c r="L45" i="43"/>
  <c r="M45" i="43" s="1"/>
  <c r="N44" i="43"/>
  <c r="L44" i="43"/>
  <c r="M44" i="43" s="1"/>
  <c r="N43" i="43"/>
  <c r="L43" i="43"/>
  <c r="M43" i="43" s="1"/>
  <c r="N42" i="43"/>
  <c r="L42" i="43"/>
  <c r="M42" i="43" s="1"/>
  <c r="N41" i="43"/>
  <c r="L41" i="43"/>
  <c r="M41" i="43" s="1"/>
  <c r="N40" i="43"/>
  <c r="L40" i="43"/>
  <c r="M40" i="43" s="1"/>
  <c r="N39" i="43"/>
  <c r="L39" i="43"/>
  <c r="M39" i="43" s="1"/>
  <c r="N38" i="43"/>
  <c r="L38" i="43"/>
  <c r="M38" i="43" s="1"/>
  <c r="N37" i="43"/>
  <c r="L37" i="43"/>
  <c r="M37" i="43" s="1"/>
  <c r="U54" i="30" l="1"/>
  <c r="W54" i="30" s="1"/>
  <c r="G27" i="8" l="1"/>
  <c r="G25" i="8"/>
  <c r="G11" i="8"/>
  <c r="G28" i="8"/>
  <c r="G26" i="8"/>
  <c r="C37" i="43" l="1"/>
  <c r="G47" i="8"/>
  <c r="G46" i="8"/>
  <c r="G41" i="8"/>
  <c r="G39" i="8"/>
  <c r="G40" i="8"/>
  <c r="I56" i="12" l="1"/>
  <c r="C135" i="43"/>
  <c r="C133" i="43"/>
  <c r="C131" i="43"/>
  <c r="C129" i="43"/>
  <c r="C127" i="43"/>
  <c r="C125" i="43"/>
  <c r="C123" i="43"/>
  <c r="C121" i="43"/>
  <c r="C119" i="43"/>
  <c r="C117" i="43"/>
  <c r="C115" i="43"/>
  <c r="C113" i="43"/>
  <c r="C111" i="43"/>
  <c r="C109" i="43"/>
  <c r="C107" i="43"/>
  <c r="C105" i="43"/>
  <c r="C103" i="43"/>
  <c r="C101" i="43"/>
  <c r="C99" i="43"/>
  <c r="C97" i="43"/>
  <c r="C95" i="43"/>
  <c r="C93" i="43"/>
  <c r="C91" i="43"/>
  <c r="C89" i="43"/>
  <c r="C87" i="43"/>
  <c r="C85" i="43"/>
  <c r="C83" i="43"/>
  <c r="C81" i="43"/>
  <c r="C79" i="43"/>
  <c r="C77" i="43"/>
  <c r="C75" i="43"/>
  <c r="C73" i="43"/>
  <c r="C71" i="43"/>
  <c r="C69" i="43"/>
  <c r="C67" i="43"/>
  <c r="C65" i="43"/>
  <c r="C63" i="43"/>
  <c r="C61" i="43"/>
  <c r="C59" i="43"/>
  <c r="C57" i="43"/>
  <c r="C55" i="43"/>
  <c r="C53" i="43"/>
  <c r="C51" i="43"/>
  <c r="C49" i="43"/>
  <c r="C47" i="43"/>
  <c r="C45" i="43"/>
  <c r="C43" i="43"/>
  <c r="C41" i="43"/>
  <c r="C40" i="43"/>
  <c r="C136" i="43"/>
  <c r="C134" i="43"/>
  <c r="C132" i="43"/>
  <c r="C130" i="43"/>
  <c r="C128" i="43"/>
  <c r="C126" i="43"/>
  <c r="C124" i="43"/>
  <c r="C122" i="43"/>
  <c r="C120" i="43"/>
  <c r="C118" i="43"/>
  <c r="C116" i="43"/>
  <c r="C114" i="43"/>
  <c r="C112" i="43"/>
  <c r="C110" i="43"/>
  <c r="C108" i="43"/>
  <c r="C106" i="43"/>
  <c r="C104" i="43"/>
  <c r="C102" i="43"/>
  <c r="C100" i="43"/>
  <c r="C98" i="43"/>
  <c r="C96" i="43"/>
  <c r="C94" i="43"/>
  <c r="C92" i="43"/>
  <c r="C90" i="43"/>
  <c r="C88" i="43"/>
  <c r="C86" i="43"/>
  <c r="C84" i="43"/>
  <c r="C82" i="43"/>
  <c r="C80" i="43"/>
  <c r="C78" i="43"/>
  <c r="C76" i="43"/>
  <c r="C74" i="43"/>
  <c r="C72" i="43"/>
  <c r="C70" i="43"/>
  <c r="C68" i="43"/>
  <c r="C66" i="43"/>
  <c r="C64" i="43"/>
  <c r="C62" i="43"/>
  <c r="C60" i="43"/>
  <c r="C58" i="43"/>
  <c r="C56" i="43"/>
  <c r="C54" i="43"/>
  <c r="C52" i="43"/>
  <c r="C50" i="43"/>
  <c r="C48" i="43"/>
  <c r="C46" i="43"/>
  <c r="C44" i="43"/>
  <c r="C42" i="43"/>
  <c r="C39" i="43"/>
  <c r="C38" i="43"/>
  <c r="G13" i="8"/>
  <c r="G12" i="8"/>
  <c r="D1" i="8"/>
  <c r="G22" i="8"/>
  <c r="M364" i="16" l="1"/>
  <c r="E21" i="9" l="1"/>
  <c r="I54" i="16" l="1"/>
  <c r="G42" i="9" l="1"/>
  <c r="E30" i="9" l="1"/>
  <c r="K27" i="12" l="1"/>
  <c r="J169" i="16"/>
  <c r="J27" i="16"/>
  <c r="J170" i="16"/>
  <c r="K344" i="16"/>
  <c r="J25" i="16" l="1"/>
  <c r="J24" i="16" s="1"/>
  <c r="J23" i="16" l="1"/>
  <c r="G17" i="15"/>
  <c r="J57" i="16" l="1"/>
  <c r="B1" i="40"/>
  <c r="D1" i="40"/>
  <c r="G56" i="12"/>
  <c r="K56" i="12" s="1"/>
  <c r="D21" i="17"/>
  <c r="D1" i="27" l="1"/>
  <c r="B1" i="27"/>
  <c r="P241" i="16"/>
  <c r="P340" i="16"/>
  <c r="P339" i="16"/>
  <c r="P338" i="16"/>
  <c r="P337" i="16"/>
  <c r="P336" i="16"/>
  <c r="P335" i="16"/>
  <c r="P334" i="16"/>
  <c r="P333" i="16"/>
  <c r="P332" i="16"/>
  <c r="N332" i="16" s="1"/>
  <c r="P331" i="16"/>
  <c r="P330" i="16"/>
  <c r="P329" i="16"/>
  <c r="P328" i="16"/>
  <c r="P327" i="16"/>
  <c r="P326" i="16"/>
  <c r="P325" i="16"/>
  <c r="P324" i="16"/>
  <c r="P323" i="16"/>
  <c r="P322" i="16"/>
  <c r="P321" i="16"/>
  <c r="P320" i="16"/>
  <c r="P319" i="16"/>
  <c r="P318" i="16"/>
  <c r="P317" i="16"/>
  <c r="P316" i="16"/>
  <c r="P315" i="16"/>
  <c r="P314" i="16"/>
  <c r="P313" i="16"/>
  <c r="P311" i="16"/>
  <c r="P310" i="16"/>
  <c r="P308" i="16"/>
  <c r="P307" i="16"/>
  <c r="P304" i="16"/>
  <c r="P302" i="16"/>
  <c r="P301" i="16"/>
  <c r="P299" i="16"/>
  <c r="P297" i="16"/>
  <c r="P295" i="16"/>
  <c r="P293" i="16"/>
  <c r="P291" i="16"/>
  <c r="P312" i="16"/>
  <c r="P309" i="16"/>
  <c r="P306" i="16"/>
  <c r="P305" i="16"/>
  <c r="P303" i="16"/>
  <c r="P300" i="16"/>
  <c r="P298" i="16"/>
  <c r="P296" i="16"/>
  <c r="P294" i="16"/>
  <c r="P292" i="16"/>
  <c r="P242" i="16"/>
  <c r="P274" i="16"/>
  <c r="N274" i="16" s="1"/>
  <c r="P251" i="16"/>
  <c r="P283" i="16"/>
  <c r="N283" i="16" s="1"/>
  <c r="P260" i="16"/>
  <c r="N260" i="16" s="1"/>
  <c r="P269" i="16"/>
  <c r="N269" i="16" s="1"/>
  <c r="P258" i="16"/>
  <c r="N258" i="16" s="1"/>
  <c r="P290" i="16"/>
  <c r="P267" i="16"/>
  <c r="N267" i="16" s="1"/>
  <c r="P244" i="16"/>
  <c r="N244" i="16" s="1"/>
  <c r="P276" i="16"/>
  <c r="N276" i="16" s="1"/>
  <c r="P253" i="16"/>
  <c r="N253" i="16" s="1"/>
  <c r="P285" i="16"/>
  <c r="N285" i="16" s="1"/>
  <c r="P250" i="16"/>
  <c r="N250" i="16" s="1"/>
  <c r="P266" i="16"/>
  <c r="P282" i="16"/>
  <c r="P243" i="16"/>
  <c r="P259" i="16"/>
  <c r="N259" i="16" s="1"/>
  <c r="P275" i="16"/>
  <c r="P252" i="16"/>
  <c r="P268" i="16"/>
  <c r="N268" i="16" s="1"/>
  <c r="P284" i="16"/>
  <c r="P245" i="16"/>
  <c r="P261" i="16"/>
  <c r="P277" i="16"/>
  <c r="N277" i="16" s="1"/>
  <c r="P246" i="16"/>
  <c r="N246" i="16" s="1"/>
  <c r="P254" i="16"/>
  <c r="P262" i="16"/>
  <c r="N262" i="16" s="1"/>
  <c r="P270" i="16"/>
  <c r="P278" i="16"/>
  <c r="N278" i="16" s="1"/>
  <c r="P286" i="16"/>
  <c r="P247" i="16"/>
  <c r="P255" i="16"/>
  <c r="N255" i="16" s="1"/>
  <c r="P263" i="16"/>
  <c r="P271" i="16"/>
  <c r="N271" i="16" s="1"/>
  <c r="P279" i="16"/>
  <c r="P287" i="16"/>
  <c r="N287" i="16" s="1"/>
  <c r="P248" i="16"/>
  <c r="N248" i="16" s="1"/>
  <c r="P256" i="16"/>
  <c r="P264" i="16"/>
  <c r="N264" i="16" s="1"/>
  <c r="P272" i="16"/>
  <c r="P280" i="16"/>
  <c r="N280" i="16" s="1"/>
  <c r="P288" i="16"/>
  <c r="P249" i="16"/>
  <c r="P257" i="16"/>
  <c r="N257" i="16" s="1"/>
  <c r="P265" i="16"/>
  <c r="P273" i="16"/>
  <c r="N273" i="16" s="1"/>
  <c r="P281" i="16"/>
  <c r="P289" i="16"/>
  <c r="N289" i="16" s="1"/>
  <c r="I59" i="16"/>
  <c r="N275" i="16" l="1"/>
  <c r="N266" i="16"/>
  <c r="N251" i="16"/>
  <c r="N290" i="16"/>
  <c r="N242" i="16"/>
  <c r="N247" i="16"/>
  <c r="N292" i="16"/>
  <c r="N279" i="16"/>
  <c r="N270" i="16"/>
  <c r="N243" i="16"/>
  <c r="N249" i="16"/>
  <c r="N263" i="16"/>
  <c r="N282" i="16"/>
  <c r="N296" i="16"/>
  <c r="N300" i="16"/>
  <c r="N305" i="16"/>
  <c r="N309" i="16"/>
  <c r="N295" i="16"/>
  <c r="N299" i="16"/>
  <c r="N302" i="16"/>
  <c r="N307" i="16"/>
  <c r="N310" i="16"/>
  <c r="N313" i="16"/>
  <c r="N315" i="16"/>
  <c r="N317" i="16"/>
  <c r="N319" i="16"/>
  <c r="N321" i="16"/>
  <c r="N323" i="16"/>
  <c r="N325" i="16"/>
  <c r="N327" i="16"/>
  <c r="N329" i="16"/>
  <c r="N331" i="16"/>
  <c r="N333" i="16"/>
  <c r="N335" i="16"/>
  <c r="N337" i="16"/>
  <c r="N339" i="16"/>
  <c r="N286" i="16"/>
  <c r="N254" i="16"/>
  <c r="N245" i="16"/>
  <c r="N291" i="16"/>
  <c r="N241" i="16"/>
  <c r="N294" i="16"/>
  <c r="N298" i="16"/>
  <c r="N303" i="16"/>
  <c r="N306" i="16"/>
  <c r="N312" i="16"/>
  <c r="N293" i="16"/>
  <c r="N297" i="16"/>
  <c r="N301" i="16"/>
  <c r="N304" i="16"/>
  <c r="N308" i="16"/>
  <c r="N311" i="16"/>
  <c r="N314" i="16"/>
  <c r="N316" i="16"/>
  <c r="N318" i="16"/>
  <c r="N320" i="16"/>
  <c r="N322" i="16"/>
  <c r="N324" i="16"/>
  <c r="N326" i="16"/>
  <c r="N328" i="16"/>
  <c r="N330" i="16"/>
  <c r="N334" i="16"/>
  <c r="N336" i="16"/>
  <c r="N338" i="16"/>
  <c r="N340" i="16"/>
  <c r="N272" i="16"/>
  <c r="N281" i="16"/>
  <c r="N265" i="16"/>
  <c r="N288" i="16"/>
  <c r="N256" i="16"/>
  <c r="N261" i="16"/>
  <c r="N284" i="16"/>
  <c r="N252" i="16"/>
  <c r="D24" i="17"/>
  <c r="R51" i="17"/>
  <c r="H51" i="17" s="1"/>
  <c r="G23" i="17"/>
  <c r="D23" i="17"/>
  <c r="B12" i="27"/>
  <c r="R28" i="4"/>
  <c r="T28" i="4" s="1"/>
  <c r="T27" i="4"/>
  <c r="T26" i="4"/>
  <c r="T25" i="4"/>
  <c r="T24" i="4"/>
  <c r="T37" i="4"/>
  <c r="K350" i="16"/>
  <c r="P364" i="16" s="1"/>
  <c r="K345" i="16"/>
  <c r="K346" i="16"/>
  <c r="K347" i="16"/>
  <c r="K348" i="16"/>
  <c r="K349" i="16"/>
  <c r="E25" i="9"/>
  <c r="E23" i="9"/>
  <c r="E22" i="9"/>
  <c r="G21" i="9"/>
  <c r="E20" i="9"/>
  <c r="E16" i="9"/>
  <c r="E15" i="9"/>
  <c r="E14" i="9"/>
  <c r="E13" i="9"/>
  <c r="E12" i="9"/>
  <c r="E11" i="9"/>
  <c r="E10" i="9"/>
  <c r="I38" i="15"/>
  <c r="I35" i="15"/>
  <c r="I33" i="15"/>
  <c r="I29" i="15"/>
  <c r="I28" i="15"/>
  <c r="I27" i="15"/>
  <c r="I26" i="15"/>
  <c r="I25" i="15"/>
  <c r="I24" i="15"/>
  <c r="I22" i="15"/>
  <c r="I21" i="15"/>
  <c r="F20" i="15"/>
  <c r="F18" i="15"/>
  <c r="F16" i="15"/>
  <c r="F15" i="15"/>
  <c r="F14" i="15"/>
  <c r="I14" i="15" s="1"/>
  <c r="F13" i="15"/>
  <c r="F10" i="15"/>
  <c r="F9" i="15"/>
  <c r="F8" i="15"/>
  <c r="F7" i="15"/>
  <c r="F6" i="15"/>
  <c r="F4" i="15"/>
  <c r="I19" i="16"/>
  <c r="K18" i="16" s="1"/>
  <c r="I56" i="16"/>
  <c r="I55" i="16"/>
  <c r="I51" i="16"/>
  <c r="I49" i="16"/>
  <c r="I46" i="16"/>
  <c r="I45" i="16"/>
  <c r="I40" i="16"/>
  <c r="I39" i="16"/>
  <c r="I38" i="16"/>
  <c r="I37" i="16"/>
  <c r="I35" i="16"/>
  <c r="I34" i="16"/>
  <c r="I33" i="16"/>
  <c r="I30" i="16"/>
  <c r="I29" i="16"/>
  <c r="I28" i="16"/>
  <c r="I26" i="16"/>
  <c r="I18" i="16"/>
  <c r="I17" i="16"/>
  <c r="I16" i="16"/>
  <c r="I15" i="16"/>
  <c r="I11" i="16"/>
  <c r="I10" i="16"/>
  <c r="I234"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J45" i="4"/>
  <c r="J44" i="4"/>
  <c r="T43" i="4"/>
  <c r="J42" i="4"/>
  <c r="J41" i="4"/>
  <c r="T41" i="4" s="1"/>
  <c r="J40" i="4"/>
  <c r="T40" i="4" s="1"/>
  <c r="J39" i="4"/>
  <c r="T39" i="4" s="1"/>
  <c r="J38" i="4"/>
  <c r="T38" i="4" s="1"/>
  <c r="J36" i="4"/>
  <c r="J35" i="4"/>
  <c r="T35" i="4" s="1"/>
  <c r="J34" i="4"/>
  <c r="T33" i="4"/>
  <c r="J32" i="4"/>
  <c r="J31" i="4"/>
  <c r="J19" i="4"/>
  <c r="J18" i="4"/>
  <c r="E84" i="16"/>
  <c r="E79" i="16"/>
  <c r="E74" i="16"/>
  <c r="E69" i="16"/>
  <c r="D42" i="17"/>
  <c r="T42" i="17" s="1"/>
  <c r="D41" i="17"/>
  <c r="T41" i="17" s="1"/>
  <c r="D36" i="17"/>
  <c r="T36" i="17" s="1"/>
  <c r="D34" i="17"/>
  <c r="D27" i="17"/>
  <c r="D26" i="17"/>
  <c r="E7" i="43"/>
  <c r="E25" i="43"/>
  <c r="G11" i="30"/>
  <c r="B24" i="43"/>
  <c r="B33" i="43"/>
  <c r="N364" i="16"/>
  <c r="R364" i="16" s="1"/>
  <c r="D39" i="17"/>
  <c r="R39" i="17" s="1"/>
  <c r="H39" i="17" s="1"/>
  <c r="D30" i="17"/>
  <c r="I25" i="8"/>
  <c r="I23" i="8"/>
  <c r="K44" i="8"/>
  <c r="I38" i="8"/>
  <c r="K10" i="8"/>
  <c r="G31" i="17"/>
  <c r="G30" i="17"/>
  <c r="G26" i="17"/>
  <c r="G27" i="17"/>
  <c r="F13" i="17"/>
  <c r="H21" i="17"/>
  <c r="D22" i="17"/>
  <c r="H22" i="17" s="1"/>
  <c r="G24" i="17"/>
  <c r="D25" i="17"/>
  <c r="R25" i="17" s="1"/>
  <c r="H25" i="17" s="1"/>
  <c r="D28" i="17"/>
  <c r="R28" i="17" s="1"/>
  <c r="H28" i="17" s="1"/>
  <c r="D29" i="17"/>
  <c r="R29" i="17" s="1"/>
  <c r="H29" i="17" s="1"/>
  <c r="G36" i="17"/>
  <c r="D37" i="17"/>
  <c r="G37" i="17"/>
  <c r="G38" i="17"/>
  <c r="G40" i="17"/>
  <c r="G41" i="17"/>
  <c r="G42" i="17"/>
  <c r="G43" i="17"/>
  <c r="F45" i="17"/>
  <c r="F46"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K47" i="8"/>
  <c r="I36" i="8"/>
  <c r="I31" i="8"/>
  <c r="I27" i="8"/>
  <c r="I11" i="8"/>
  <c r="R54" i="30"/>
  <c r="R55" i="30"/>
  <c r="R56" i="30"/>
  <c r="R57" i="30"/>
  <c r="R58" i="30"/>
  <c r="R59" i="30"/>
  <c r="R60" i="30"/>
  <c r="R61" i="30"/>
  <c r="R62" i="30"/>
  <c r="R63" i="30"/>
  <c r="R64" i="30"/>
  <c r="R65" i="30"/>
  <c r="R66" i="30"/>
  <c r="R67" i="30"/>
  <c r="R68" i="30"/>
  <c r="R69" i="30"/>
  <c r="R70" i="30"/>
  <c r="R71" i="30"/>
  <c r="R72" i="30"/>
  <c r="R73" i="30"/>
  <c r="R74" i="30"/>
  <c r="R75" i="30"/>
  <c r="R76" i="30"/>
  <c r="R77" i="30"/>
  <c r="R78" i="30"/>
  <c r="R79" i="30"/>
  <c r="R80" i="30"/>
  <c r="R81" i="30"/>
  <c r="R82" i="30"/>
  <c r="R83" i="30"/>
  <c r="R84" i="30"/>
  <c r="R85" i="30"/>
  <c r="R86" i="30"/>
  <c r="R87" i="30"/>
  <c r="R88" i="30"/>
  <c r="R89" i="30"/>
  <c r="R90" i="30"/>
  <c r="R91" i="30"/>
  <c r="R92" i="30"/>
  <c r="R93" i="30"/>
  <c r="R94" i="30"/>
  <c r="R95" i="30"/>
  <c r="R96" i="30"/>
  <c r="R97" i="30"/>
  <c r="R98" i="30"/>
  <c r="R99" i="30"/>
  <c r="R100" i="30"/>
  <c r="R101" i="30"/>
  <c r="R102" i="30"/>
  <c r="R103" i="30"/>
  <c r="I42" i="4"/>
  <c r="K52" i="12"/>
  <c r="K53" i="12"/>
  <c r="K54" i="12"/>
  <c r="B1" i="9" l="1"/>
  <c r="G40" i="12" s="1"/>
  <c r="K40" i="12" s="1"/>
  <c r="D1" i="9"/>
  <c r="I40" i="12" s="1"/>
  <c r="K41" i="12" s="1"/>
  <c r="H5" i="15"/>
  <c r="W27" i="17"/>
  <c r="R27" i="17" s="1"/>
  <c r="H27" i="17" s="1"/>
  <c r="W37" i="17"/>
  <c r="R37" i="17" s="1"/>
  <c r="H37" i="17" s="1"/>
  <c r="W26" i="17"/>
  <c r="R26" i="17" s="1"/>
  <c r="H26" i="17" s="1"/>
  <c r="W24" i="17"/>
  <c r="R24" i="17" s="1"/>
  <c r="H24" i="17" s="1"/>
  <c r="R40" i="17"/>
  <c r="H40" i="17" s="1"/>
  <c r="W23" i="17"/>
  <c r="R23" i="17" s="1"/>
  <c r="H23" i="17" s="1"/>
  <c r="G35" i="17"/>
  <c r="B1" i="43"/>
  <c r="G46" i="12" s="1"/>
  <c r="K46" i="12" s="1"/>
  <c r="J104" i="30"/>
  <c r="G12" i="30" s="1"/>
  <c r="B1" i="30"/>
  <c r="G50" i="12" s="1"/>
  <c r="K50" i="12" s="1"/>
  <c r="I46" i="12"/>
  <c r="K47" i="12" s="1"/>
  <c r="S42" i="17"/>
  <c r="R42" i="17" s="1"/>
  <c r="I29" i="8"/>
  <c r="T23" i="4"/>
  <c r="D38" i="17"/>
  <c r="T38" i="17" s="1"/>
  <c r="G19" i="9"/>
  <c r="R104" i="30"/>
  <c r="S36" i="17"/>
  <c r="R36" i="17" s="1"/>
  <c r="H36" i="17" s="1"/>
  <c r="K46" i="8"/>
  <c r="I33" i="8"/>
  <c r="I34" i="8"/>
  <c r="Q364" i="16"/>
  <c r="S364" i="16" s="1"/>
  <c r="T364" i="16" s="1"/>
  <c r="K351" i="16" s="1"/>
  <c r="O344" i="16" s="1"/>
  <c r="D33" i="17"/>
  <c r="S41" i="17"/>
  <c r="I35" i="8"/>
  <c r="I32" i="8"/>
  <c r="D1" i="15" l="1"/>
  <c r="I38" i="12" s="1"/>
  <c r="B1" i="15"/>
  <c r="G38" i="12" s="1"/>
  <c r="H42" i="17"/>
  <c r="J42" i="17" s="1"/>
  <c r="I60" i="16"/>
  <c r="B16" i="12"/>
  <c r="W35" i="17"/>
  <c r="R35" i="17" s="1"/>
  <c r="H35" i="17" s="1"/>
  <c r="G10" i="30"/>
  <c r="D1" i="30" s="1"/>
  <c r="I50" i="12" s="1"/>
  <c r="K51" i="12" s="1"/>
  <c r="F13" i="30"/>
  <c r="H10" i="30"/>
  <c r="I48" i="12"/>
  <c r="K49" i="12" s="1"/>
  <c r="B1" i="8"/>
  <c r="G48" i="12" s="1"/>
  <c r="K48" i="12" s="1"/>
  <c r="S38" i="17"/>
  <c r="R38" i="17" s="1"/>
  <c r="H38" i="17" s="1"/>
  <c r="R41" i="17"/>
  <c r="H41" i="17" s="1"/>
  <c r="D31" i="17"/>
  <c r="K38" i="12" l="1"/>
  <c r="K39" i="12"/>
  <c r="H13" i="12"/>
  <c r="J13" i="12" s="1"/>
  <c r="J41" i="17"/>
  <c r="K13" i="12"/>
  <c r="W34" i="17"/>
  <c r="R34" i="17" s="1"/>
  <c r="H34" i="17" s="1"/>
  <c r="F32" i="17"/>
  <c r="G34" i="17"/>
  <c r="D43" i="17"/>
  <c r="E35" i="17" l="1"/>
  <c r="E40" i="17"/>
  <c r="S43" i="17"/>
  <c r="C43" i="17" s="1"/>
  <c r="G33" i="17"/>
  <c r="W33" i="17"/>
  <c r="R33" i="17" s="1"/>
  <c r="H33" i="17" s="1"/>
  <c r="G32" i="17"/>
  <c r="E27" i="17"/>
  <c r="E29" i="17"/>
  <c r="E24" i="17"/>
  <c r="E26" i="17"/>
  <c r="E42" i="17"/>
  <c r="E23" i="17"/>
  <c r="E37" i="17"/>
  <c r="E41" i="17"/>
  <c r="E36" i="17"/>
  <c r="E30" i="17"/>
  <c r="E43" i="17"/>
  <c r="E34" i="17"/>
  <c r="E38" i="17"/>
  <c r="E31" i="17"/>
  <c r="E33" i="17"/>
  <c r="I170" i="16"/>
  <c r="I169" i="16"/>
  <c r="B1" i="16" s="1"/>
  <c r="D1" i="16" l="1"/>
  <c r="I42" i="12" s="1"/>
  <c r="G42" i="12"/>
  <c r="R43" i="17"/>
  <c r="H43" i="17" s="1"/>
  <c r="J29" i="4"/>
  <c r="D32" i="17"/>
  <c r="D1" i="4" l="1"/>
  <c r="I44" i="12" s="1"/>
  <c r="K45" i="12" s="1"/>
  <c r="B1" i="4"/>
  <c r="G44" i="12" s="1"/>
  <c r="W32" i="17"/>
  <c r="R32" i="17" s="1"/>
  <c r="H32" i="17" s="1"/>
  <c r="K43" i="12"/>
  <c r="K42" i="12"/>
  <c r="R29" i="4"/>
  <c r="T29" i="4" s="1"/>
  <c r="E32" i="17"/>
  <c r="K44" i="12" l="1"/>
  <c r="B1" i="12"/>
  <c r="S5" i="57" s="1"/>
  <c r="D1" i="12"/>
  <c r="T5"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003471斎藤 孝信</author>
  </authors>
  <commentList>
    <comment ref="H32" authorId="0" shapeId="0" xr:uid="{00000000-0006-0000-0200-000001000000}">
      <text>
        <r>
          <rPr>
            <sz val="9"/>
            <color indexed="81"/>
            <rFont val="ＭＳ Ｐゴシック"/>
            <family val="3"/>
            <charset val="128"/>
          </rPr>
          <t xml:space="preserve">工種判定
</t>
        </r>
      </text>
    </comment>
    <comment ref="H33" authorId="0" shapeId="0" xr:uid="{00000000-0006-0000-0200-000002000000}">
      <text>
        <r>
          <rPr>
            <sz val="9"/>
            <color indexed="81"/>
            <rFont val="ＭＳ Ｐゴシック"/>
            <family val="3"/>
            <charset val="128"/>
          </rPr>
          <t xml:space="preserve">補正判定
</t>
        </r>
      </text>
    </comment>
    <comment ref="H55" authorId="0" shapeId="0" xr:uid="{00000000-0006-0000-0200-000003000000}">
      <text>
        <r>
          <rPr>
            <b/>
            <sz val="9"/>
            <color indexed="81"/>
            <rFont val="ＭＳ Ｐゴシック"/>
            <family val="3"/>
            <charset val="128"/>
          </rPr>
          <t>Tableシートを変更したら要修正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S361" authorId="0" shapeId="0" xr:uid="{00000000-0006-0000-0300-000001000000}">
      <text>
        <r>
          <rPr>
            <sz val="10"/>
            <color indexed="81"/>
            <rFont val="ＭＳ Ｐゴシック"/>
            <family val="3"/>
            <charset val="128"/>
          </rPr>
          <t>ケース1【非対象0(全額対象)の場合】
   ⑤：以下、⑥：以下
ケース2【3％以上非対象の場合】</t>
        </r>
        <r>
          <rPr>
            <sz val="9"/>
            <color indexed="81"/>
            <rFont val="ＭＳ Ｐゴシック"/>
            <family val="3"/>
            <charset val="128"/>
          </rPr>
          <t xml:space="preserve">
　⑤：以上、⑥：以下
ケース3【3千万以上非対象の場合】
　⑤：以上、⑥：以上
　⑤：以下、⑥：以上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okuook</author>
  </authors>
  <commentList>
    <comment ref="R2" authorId="0" shapeId="0" xr:uid="{00000000-0006-0000-0D00-000001000000}">
      <text>
        <r>
          <rPr>
            <b/>
            <sz val="9"/>
            <color indexed="81"/>
            <rFont val="ＭＳ Ｐゴシック"/>
            <family val="3"/>
            <charset val="128"/>
          </rPr>
          <t>okuook:</t>
        </r>
        <r>
          <rPr>
            <sz val="9"/>
            <color indexed="81"/>
            <rFont val="ＭＳ Ｐゴシック"/>
            <family val="3"/>
            <charset val="128"/>
          </rPr>
          <t xml:space="preserve">
Module2のCheckを実行した回数を自動記録します。
回収システムのＦＤ回収時にチェックを実行するか否かの判定に使います。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0N0036齋藤 孝信</author>
  </authors>
  <commentList>
    <comment ref="AF15" authorId="0" shapeId="0" xr:uid="{00000000-0006-0000-1100-000001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34" authorId="0" shapeId="0" xr:uid="{00000000-0006-0000-1100-000002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35" authorId="0" shapeId="0" xr:uid="{00000000-0006-0000-1100-000003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65" authorId="0" shapeId="0" xr:uid="{00000000-0006-0000-1100-000004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66" authorId="0" shapeId="0" xr:uid="{00000000-0006-0000-1100-000005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List>
</comments>
</file>

<file path=xl/sharedStrings.xml><?xml version="1.0" encoding="utf-8"?>
<sst xmlns="http://schemas.openxmlformats.org/spreadsheetml/2006/main" count="9502" uniqueCount="5755">
  <si>
    <t>２．元請ファイルの入力状況（未入力・エラー件数）</t>
    <rPh sb="2" eb="4">
      <t>モトウケ</t>
    </rPh>
    <rPh sb="9" eb="11">
      <t>ニュウリョク</t>
    </rPh>
    <rPh sb="11" eb="13">
      <t>ジョウキョウ</t>
    </rPh>
    <rPh sb="14" eb="17">
      <t>ミニュウリョク</t>
    </rPh>
    <rPh sb="21" eb="23">
      <t>ケンスウ</t>
    </rPh>
    <phoneticPr fontId="5"/>
  </si>
  <si>
    <t>「工事費」シートで工事費内訳を入力して下さい。入力することで工事価格が自動計算されます。</t>
    <rPh sb="1" eb="4">
      <t>コウジヒ</t>
    </rPh>
    <rPh sb="9" eb="12">
      <t>コウジヒ</t>
    </rPh>
    <rPh sb="23" eb="25">
      <t>ニュウリョク</t>
    </rPh>
    <rPh sb="30" eb="32">
      <t>コウジ</t>
    </rPh>
    <rPh sb="32" eb="34">
      <t>カカク</t>
    </rPh>
    <rPh sb="35" eb="37">
      <t>ジドウ</t>
    </rPh>
    <rPh sb="37" eb="39">
      <t>ケイサン</t>
    </rPh>
    <phoneticPr fontId="5"/>
  </si>
  <si>
    <t>管理費区分別費用</t>
    <rPh sb="0" eb="3">
      <t>カンリヒ</t>
    </rPh>
    <rPh sb="3" eb="5">
      <t>クブン</t>
    </rPh>
    <rPh sb="5" eb="6">
      <t>ベツ</t>
    </rPh>
    <rPh sb="6" eb="8">
      <t>ヒヨウ</t>
    </rPh>
    <phoneticPr fontId="4"/>
  </si>
  <si>
    <t>管理費区分別費用について「細別名称」、「規格」、「単位」、「数量」、「金額」、「管理費区分」を入力してください。</t>
    <rPh sb="0" eb="3">
      <t>カンリヒ</t>
    </rPh>
    <rPh sb="3" eb="5">
      <t>クブン</t>
    </rPh>
    <rPh sb="5" eb="6">
      <t>ベツ</t>
    </rPh>
    <rPh sb="6" eb="8">
      <t>ヒヨウ</t>
    </rPh>
    <rPh sb="13" eb="15">
      <t>サイベツ</t>
    </rPh>
    <rPh sb="15" eb="17">
      <t>メイショウ</t>
    </rPh>
    <rPh sb="20" eb="22">
      <t>キカク</t>
    </rPh>
    <rPh sb="25" eb="27">
      <t>タンイ</t>
    </rPh>
    <rPh sb="30" eb="32">
      <t>スウリョウ</t>
    </rPh>
    <rPh sb="35" eb="37">
      <t>キンガク</t>
    </rPh>
    <rPh sb="40" eb="43">
      <t>カンリヒ</t>
    </rPh>
    <rPh sb="43" eb="45">
      <t>クブン</t>
    </rPh>
    <rPh sb="47" eb="49">
      <t>ニュウリョク</t>
    </rPh>
    <phoneticPr fontId="4"/>
  </si>
  <si>
    <t>凡例</t>
    <rPh sb="0" eb="2">
      <t>ハンレイ</t>
    </rPh>
    <phoneticPr fontId="4"/>
  </si>
  <si>
    <t>　管理費区分1</t>
    <phoneticPr fontId="4"/>
  </si>
  <si>
    <t>　管理費区分2</t>
    <phoneticPr fontId="4"/>
  </si>
  <si>
    <t>　管理費区分5</t>
    <phoneticPr fontId="4"/>
  </si>
  <si>
    <t>　管理費区分7</t>
    <phoneticPr fontId="4"/>
  </si>
  <si>
    <t>　管理費区分9</t>
    <phoneticPr fontId="4"/>
  </si>
  <si>
    <t>　管理費区分Ｔ</t>
    <phoneticPr fontId="4"/>
  </si>
  <si>
    <t>　　　　合　計</t>
    <rPh sb="4" eb="5">
      <t>ゴウ</t>
    </rPh>
    <rPh sb="6" eb="7">
      <t>ケイ</t>
    </rPh>
    <phoneticPr fontId="4"/>
  </si>
  <si>
    <t>　管理費区分Ｔのうち、処分費が共通仮設費対象額+準備費に含まれる処分費に占める割合が
　3％を超える金額。ただし、対象となる金額は3千万円が上限</t>
    <rPh sb="47" eb="48">
      <t>コ</t>
    </rPh>
    <rPh sb="50" eb="52">
      <t>キンガク</t>
    </rPh>
    <rPh sb="57" eb="59">
      <t>タイショウ</t>
    </rPh>
    <rPh sb="62" eb="64">
      <t>キンガク</t>
    </rPh>
    <rPh sb="70" eb="72">
      <t>ジョウゲン</t>
    </rPh>
    <phoneticPr fontId="4"/>
  </si>
  <si>
    <t>直工+支給材+無償機械+事業損+準備費の処分費</t>
    <rPh sb="0" eb="2">
      <t>チョッコウ</t>
    </rPh>
    <rPh sb="3" eb="5">
      <t>シキュウ</t>
    </rPh>
    <rPh sb="5" eb="6">
      <t>ザイ</t>
    </rPh>
    <rPh sb="7" eb="9">
      <t>ムショウ</t>
    </rPh>
    <rPh sb="9" eb="11">
      <t>キカイ</t>
    </rPh>
    <rPh sb="12" eb="15">
      <t>ジギョウソン</t>
    </rPh>
    <rPh sb="16" eb="19">
      <t>ジュンビヒ</t>
    </rPh>
    <rPh sb="20" eb="23">
      <t>ショブンヒ</t>
    </rPh>
    <phoneticPr fontId="4"/>
  </si>
  <si>
    <t>②の上限額</t>
    <rPh sb="2" eb="4">
      <t>ジョウゲン</t>
    </rPh>
    <rPh sb="4" eb="5">
      <t>ガク</t>
    </rPh>
    <phoneticPr fontId="4"/>
  </si>
  <si>
    <t>管理費区分Ｔ（処分費等の対象）</t>
    <rPh sb="0" eb="3">
      <t>カンリヒ</t>
    </rPh>
    <rPh sb="3" eb="5">
      <t>クブン</t>
    </rPh>
    <rPh sb="7" eb="10">
      <t>ショブンヒ</t>
    </rPh>
    <rPh sb="10" eb="11">
      <t>トウ</t>
    </rPh>
    <rPh sb="12" eb="14">
      <t>タイショウ</t>
    </rPh>
    <phoneticPr fontId="4"/>
  </si>
  <si>
    <t>④処分費が3%以上・以下の判定
④＞②：以上
④＜②：以下</t>
    <rPh sb="1" eb="4">
      <t>ショブンヒ</t>
    </rPh>
    <rPh sb="7" eb="9">
      <t>イジョウ</t>
    </rPh>
    <rPh sb="10" eb="12">
      <t>イカ</t>
    </rPh>
    <rPh sb="13" eb="15">
      <t>ハンテイ</t>
    </rPh>
    <rPh sb="20" eb="22">
      <t>イジョウ</t>
    </rPh>
    <rPh sb="27" eb="29">
      <t>イカ</t>
    </rPh>
    <phoneticPr fontId="4"/>
  </si>
  <si>
    <t>②対象額が3千万以上・以下の判定
②＞③：以上
②＜③：以下</t>
    <rPh sb="1" eb="3">
      <t>タイショウ</t>
    </rPh>
    <rPh sb="3" eb="4">
      <t>ガク</t>
    </rPh>
    <rPh sb="6" eb="8">
      <t>センマン</t>
    </rPh>
    <rPh sb="8" eb="10">
      <t>イジョウ</t>
    </rPh>
    <rPh sb="11" eb="13">
      <t>イカ</t>
    </rPh>
    <rPh sb="14" eb="16">
      <t>ハンテイ</t>
    </rPh>
    <phoneticPr fontId="4"/>
  </si>
  <si>
    <t>ケース判定</t>
    <rPh sb="3" eb="5">
      <t>ハンテイ</t>
    </rPh>
    <phoneticPr fontId="4"/>
  </si>
  <si>
    <t>処分費非対象額</t>
    <rPh sb="0" eb="3">
      <t>ショブンヒ</t>
    </rPh>
    <rPh sb="3" eb="6">
      <t>ヒタイショウ</t>
    </rPh>
    <rPh sb="6" eb="7">
      <t>ガク</t>
    </rPh>
    <phoneticPr fontId="4"/>
  </si>
  <si>
    <t>②</t>
    <phoneticPr fontId="4"/>
  </si>
  <si>
    <t>③</t>
    <phoneticPr fontId="4"/>
  </si>
  <si>
    <t>④</t>
    <phoneticPr fontId="4"/>
  </si>
  <si>
    <t>⑤</t>
    <phoneticPr fontId="4"/>
  </si>
  <si>
    <t>⑥</t>
    <phoneticPr fontId="4"/>
  </si>
  <si>
    <t>⑦</t>
    <phoneticPr fontId="4"/>
  </si>
  <si>
    <t>⑧</t>
    <phoneticPr fontId="4"/>
  </si>
  <si>
    <t>1.鋼橋等工場製作費（機器単体費）を入力して下さい
2.費用が発生しない場合は0を入力して下さい</t>
    <rPh sb="2" eb="4">
      <t>コウキョウ</t>
    </rPh>
    <rPh sb="4" eb="5">
      <t>トウ</t>
    </rPh>
    <rPh sb="5" eb="7">
      <t>コウジョウ</t>
    </rPh>
    <rPh sb="7" eb="10">
      <t>セイサクヒ</t>
    </rPh>
    <rPh sb="31" eb="33">
      <t>ハッセイ</t>
    </rPh>
    <phoneticPr fontId="5"/>
  </si>
  <si>
    <t>要確認90</t>
    <phoneticPr fontId="5"/>
  </si>
  <si>
    <r>
      <t>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</si>
  <si>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t>要確認92</t>
    <phoneticPr fontId="5"/>
  </si>
  <si>
    <t>発注者側の積算品目に相当する実績額を元請ファイルに入力するよう元請担当者に伝えて下さい
（元請ファイルでは鋼橋等工場製作費（機器単体費）分を直接工事費の材料費に誤計上していることが考えられます）</t>
    <rPh sb="37" eb="38">
      <t>ツタ</t>
    </rPh>
    <rPh sb="40" eb="41">
      <t>クダ</t>
    </rPh>
    <rPh sb="45" eb="47">
      <t>モトウケ</t>
    </rPh>
    <rPh sb="80" eb="81">
      <t>ゴ</t>
    </rPh>
    <rPh sb="90" eb="91">
      <t>カンガ</t>
    </rPh>
    <phoneticPr fontId="5"/>
  </si>
  <si>
    <t>要確認93</t>
    <phoneticPr fontId="5"/>
  </si>
  <si>
    <t>要確認94</t>
    <phoneticPr fontId="5"/>
  </si>
  <si>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カダイ</t>
    </rPh>
    <phoneticPr fontId="5"/>
  </si>
  <si>
    <t>1.金額は「千円」単位での入力になっているか？
2.発注ファイルの入力金額は正しいか？
3.元請ファイルの入力金額は正しいか？</t>
    <phoneticPr fontId="5"/>
  </si>
  <si>
    <t>要確認95</t>
    <phoneticPr fontId="5"/>
  </si>
  <si>
    <t>鉄道空港安全管理</t>
    <rPh sb="2" eb="4">
      <t>クウコウ</t>
    </rPh>
    <phoneticPr fontId="5"/>
  </si>
  <si>
    <t>航路安全標識・警戒船</t>
    <rPh sb="0" eb="2">
      <t>コウロ</t>
    </rPh>
    <rPh sb="2" eb="4">
      <t>アンゼン</t>
    </rPh>
    <rPh sb="4" eb="6">
      <t>ヒョウシキ</t>
    </rPh>
    <rPh sb="7" eb="9">
      <t>ケイカイセン</t>
    </rPh>
    <rPh sb="9" eb="10">
      <t>フネ</t>
    </rPh>
    <phoneticPr fontId="5"/>
  </si>
  <si>
    <t>ダム発破・監視費</t>
    <rPh sb="2" eb="4">
      <t>ハッパ</t>
    </rPh>
    <rPh sb="5" eb="7">
      <t>カンシ</t>
    </rPh>
    <rPh sb="7" eb="8">
      <t>ヒ</t>
    </rPh>
    <phoneticPr fontId="5"/>
  </si>
  <si>
    <t>その他</t>
    <rPh sb="2" eb="3">
      <t>タ</t>
    </rPh>
    <phoneticPr fontId="5"/>
  </si>
  <si>
    <t>下請工事価格</t>
    <rPh sb="0" eb="2">
      <t>シタウケ</t>
    </rPh>
    <rPh sb="2" eb="4">
      <t>コウジ</t>
    </rPh>
    <rPh sb="4" eb="6">
      <t>カカク</t>
    </rPh>
    <phoneticPr fontId="5"/>
  </si>
  <si>
    <t>外注一般管理費等/下請工事
価格（％）</t>
    <rPh sb="0" eb="2">
      <t>ガイチュウ</t>
    </rPh>
    <rPh sb="2" eb="4">
      <t>イッパン</t>
    </rPh>
    <rPh sb="4" eb="7">
      <t>カンリヒ</t>
    </rPh>
    <rPh sb="7" eb="8">
      <t>トウ</t>
    </rPh>
    <rPh sb="9" eb="11">
      <t>シタウケ</t>
    </rPh>
    <rPh sb="11" eb="13">
      <t>コウジ</t>
    </rPh>
    <rPh sb="14" eb="16">
      <t>カカク</t>
    </rPh>
    <phoneticPr fontId="5"/>
  </si>
  <si>
    <t>デザイン高欄</t>
    <phoneticPr fontId="5"/>
  </si>
  <si>
    <t>デザイン照明ポール</t>
    <phoneticPr fontId="5"/>
  </si>
  <si>
    <t>エラー（E）の件数</t>
    <rPh sb="7" eb="9">
      <t>ケンスウ</t>
    </rPh>
    <phoneticPr fontId="5"/>
  </si>
  <si>
    <t>セグメント桁</t>
    <rPh sb="5" eb="6">
      <t>ケタ</t>
    </rPh>
    <phoneticPr fontId="4"/>
  </si>
  <si>
    <t>防雪柵（吹払防止）</t>
    <rPh sb="0" eb="2">
      <t>ボウセツ</t>
    </rPh>
    <rPh sb="2" eb="3">
      <t>サク</t>
    </rPh>
    <rPh sb="4" eb="5">
      <t>フ</t>
    </rPh>
    <rPh sb="5" eb="6">
      <t>ハラ</t>
    </rPh>
    <rPh sb="6" eb="8">
      <t>ボウシ</t>
    </rPh>
    <phoneticPr fontId="4"/>
  </si>
  <si>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カショウ</t>
    </rPh>
    <phoneticPr fontId="5"/>
  </si>
  <si>
    <t>要確認109</t>
    <phoneticPr fontId="5"/>
  </si>
  <si>
    <r>
      <t>受発注で材料費の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7">
      <t>ザイリョウヒ</t>
    </rPh>
    <rPh sb="8" eb="10">
      <t>キンガク</t>
    </rPh>
    <rPh sb="10" eb="11">
      <t>サ</t>
    </rPh>
    <rPh sb="12" eb="13">
      <t>オオ</t>
    </rPh>
    <rPh sb="17" eb="19">
      <t>モトウケ</t>
    </rPh>
    <rPh sb="23" eb="25">
      <t>ジッセキ</t>
    </rPh>
    <rPh sb="25" eb="26">
      <t>ガク</t>
    </rPh>
    <rPh sb="27" eb="29">
      <t>カショウ</t>
    </rPh>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</si>
  <si>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①現場作業員の賃金を「社員等従業員給料手当」に誤計上し、現場管理費が過大になっていないか？
　②「工事費」シートの「下請」入力欄において、労務費より社員等従業員給料手当が大きい場合は①を要確認
　③「工事費」シートの「下請」入力欄において、「外注一般管理費等」の金額が大きい場合は、直接工事費、共通仮設費に計上漏れがないか確認してください。
　　外注一般管理費等は、下請工事価格から工事原価を差し引いた金額です。実績費用に計上漏れがあると外注一般管理費等が大きくなります。</t>
    </r>
    <rPh sb="93" eb="95">
      <t>ゲンバ</t>
    </rPh>
    <rPh sb="95" eb="98">
      <t>カンリヒ</t>
    </rPh>
    <rPh sb="99" eb="101">
      <t>カダイ</t>
    </rPh>
    <rPh sb="196" eb="198">
      <t>キンガク</t>
    </rPh>
    <rPh sb="226" eb="228">
      <t>カクニン</t>
    </rPh>
    <rPh sb="238" eb="240">
      <t>ガイチュウ</t>
    </rPh>
    <rPh sb="240" eb="242">
      <t>イッパン</t>
    </rPh>
    <rPh sb="242" eb="245">
      <t>カンリヒ</t>
    </rPh>
    <rPh sb="245" eb="246">
      <t>トウ</t>
    </rPh>
    <rPh sb="248" eb="250">
      <t>シタウケ</t>
    </rPh>
    <rPh sb="250" eb="252">
      <t>コウジ</t>
    </rPh>
    <rPh sb="252" eb="254">
      <t>カカク</t>
    </rPh>
    <rPh sb="256" eb="258">
      <t>コウジ</t>
    </rPh>
    <rPh sb="258" eb="260">
      <t>ゲンカ</t>
    </rPh>
    <rPh sb="261" eb="262">
      <t>サ</t>
    </rPh>
    <rPh sb="263" eb="264">
      <t>ヒ</t>
    </rPh>
    <rPh sb="266" eb="268">
      <t>キンガク</t>
    </rPh>
    <rPh sb="271" eb="273">
      <t>ジッセキ</t>
    </rPh>
    <rPh sb="273" eb="275">
      <t>ヒヨウ</t>
    </rPh>
    <rPh sb="276" eb="278">
      <t>ケイジョウ</t>
    </rPh>
    <rPh sb="278" eb="279">
      <t>モ</t>
    </rPh>
    <rPh sb="284" eb="286">
      <t>ガイチュウ</t>
    </rPh>
    <rPh sb="286" eb="288">
      <t>イッパン</t>
    </rPh>
    <rPh sb="288" eb="291">
      <t>カンリヒ</t>
    </rPh>
    <rPh sb="291" eb="292">
      <t>トウ</t>
    </rPh>
    <rPh sb="293" eb="294">
      <t>オオ</t>
    </rPh>
    <phoneticPr fontId="5"/>
  </si>
  <si>
    <t>①対象額の3％額</t>
    <rPh sb="1" eb="3">
      <t>タイショウ</t>
    </rPh>
    <rPh sb="3" eb="4">
      <t>ガク</t>
    </rPh>
    <rPh sb="7" eb="8">
      <t>ガク</t>
    </rPh>
    <phoneticPr fontId="4"/>
  </si>
  <si>
    <t>所管名（１）</t>
    <rPh sb="0" eb="2">
      <t>ショカン</t>
    </rPh>
    <rPh sb="2" eb="3">
      <t>メイ</t>
    </rPh>
    <phoneticPr fontId="5"/>
  </si>
  <si>
    <t>所管名（２）</t>
    <rPh sb="0" eb="2">
      <t>ショカン</t>
    </rPh>
    <rPh sb="2" eb="3">
      <t>メイ</t>
    </rPh>
    <phoneticPr fontId="5"/>
  </si>
  <si>
    <t>　（４）機器間接費</t>
    <rPh sb="4" eb="6">
      <t>キキ</t>
    </rPh>
    <rPh sb="6" eb="8">
      <t>カンセツ</t>
    </rPh>
    <rPh sb="8" eb="9">
      <t>ヒ</t>
    </rPh>
    <phoneticPr fontId="5"/>
  </si>
  <si>
    <r>
      <t>発注ファイルの鋼橋等工場製作費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</si>
  <si>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t>要確認91</t>
    <phoneticPr fontId="5"/>
  </si>
  <si>
    <t>当初工事請負金額（消費税込）</t>
    <rPh sb="0" eb="2">
      <t>トウショ</t>
    </rPh>
    <rPh sb="2" eb="4">
      <t>コウジ</t>
    </rPh>
    <rPh sb="4" eb="6">
      <t>ウケオイ</t>
    </rPh>
    <rPh sb="6" eb="8">
      <t>キンガク</t>
    </rPh>
    <rPh sb="9" eb="12">
      <t>ショウヒゼイ</t>
    </rPh>
    <rPh sb="12" eb="13">
      <t>コ</t>
    </rPh>
    <phoneticPr fontId="5"/>
  </si>
  <si>
    <t>当初工事価格
（当初工事請負金額-消費税）</t>
    <rPh sb="0" eb="2">
      <t>トウショ</t>
    </rPh>
    <rPh sb="2" eb="4">
      <t>コウジ</t>
    </rPh>
    <rPh sb="4" eb="6">
      <t>カカク</t>
    </rPh>
    <rPh sb="8" eb="10">
      <t>トウショ</t>
    </rPh>
    <rPh sb="10" eb="12">
      <t>コウジ</t>
    </rPh>
    <rPh sb="12" eb="14">
      <t>ウケオイ</t>
    </rPh>
    <rPh sb="14" eb="16">
      <t>キンガク</t>
    </rPh>
    <rPh sb="17" eb="20">
      <t>ショウヒゼイ</t>
    </rPh>
    <phoneticPr fontId="5"/>
  </si>
  <si>
    <t>(１)</t>
    <phoneticPr fontId="5"/>
  </si>
  <si>
    <t>(３)</t>
    <phoneticPr fontId="5"/>
  </si>
  <si>
    <t>(４)</t>
    <phoneticPr fontId="5"/>
  </si>
  <si>
    <t>無償貸付機械等評価額</t>
    <rPh sb="0" eb="2">
      <t>ムショウ</t>
    </rPh>
    <rPh sb="2" eb="3">
      <t>タイヨ</t>
    </rPh>
    <rPh sb="3" eb="4">
      <t>ツ</t>
    </rPh>
    <rPh sb="4" eb="6">
      <t>キカイ</t>
    </rPh>
    <rPh sb="6" eb="7">
      <t>ナド</t>
    </rPh>
    <rPh sb="7" eb="9">
      <t>ヒョウカ</t>
    </rPh>
    <rPh sb="9" eb="10">
      <t>ガク</t>
    </rPh>
    <phoneticPr fontId="5"/>
  </si>
  <si>
    <t>(６)</t>
    <phoneticPr fontId="5"/>
  </si>
  <si>
    <t>④</t>
    <phoneticPr fontId="5"/>
  </si>
  <si>
    <t>⑤</t>
    <phoneticPr fontId="5"/>
  </si>
  <si>
    <t>別途調査等工事価格</t>
    <phoneticPr fontId="5"/>
  </si>
  <si>
    <t>機器の製作及び据付け工事</t>
    <rPh sb="0" eb="2">
      <t>キキ</t>
    </rPh>
    <rPh sb="3" eb="5">
      <t>セイサク</t>
    </rPh>
    <rPh sb="5" eb="6">
      <t>オヨ</t>
    </rPh>
    <rPh sb="7" eb="9">
      <t>スエツ</t>
    </rPh>
    <rPh sb="10" eb="12">
      <t>コウジ</t>
    </rPh>
    <phoneticPr fontId="4"/>
  </si>
  <si>
    <t>機器の支給品がある工事</t>
    <rPh sb="9" eb="11">
      <t>コウジ</t>
    </rPh>
    <phoneticPr fontId="4"/>
  </si>
  <si>
    <r>
      <t>要確認</t>
    </r>
    <r>
      <rPr>
        <sz val="11"/>
        <rFont val="ＭＳ Ｐゴシック"/>
        <family val="3"/>
        <charset val="128"/>
      </rPr>
      <t>10</t>
    </r>
    <r>
      <rPr>
        <sz val="11"/>
        <rFont val="ＭＳ Ｐゴシック"/>
        <family val="3"/>
        <charset val="128"/>
      </rPr>
      <t>4</t>
    </r>
    <phoneticPr fontId="5"/>
  </si>
  <si>
    <r>
      <t>要確認</t>
    </r>
    <r>
      <rPr>
        <sz val="11"/>
        <rFont val="ＭＳ Ｐゴシック"/>
        <family val="3"/>
        <charset val="128"/>
      </rPr>
      <t>10</t>
    </r>
    <r>
      <rPr>
        <sz val="11"/>
        <rFont val="ＭＳ Ｐゴシック"/>
        <family val="3"/>
        <charset val="128"/>
      </rPr>
      <t>5</t>
    </r>
    <phoneticPr fontId="5"/>
  </si>
  <si>
    <r>
      <t>要確認</t>
    </r>
    <r>
      <rPr>
        <sz val="11"/>
        <rFont val="ＭＳ Ｐゴシック"/>
        <family val="3"/>
        <charset val="128"/>
      </rPr>
      <t>10</t>
    </r>
    <r>
      <rPr>
        <sz val="11"/>
        <rFont val="ＭＳ Ｐゴシック"/>
        <family val="3"/>
        <charset val="128"/>
      </rPr>
      <t>6</t>
    </r>
    <phoneticPr fontId="5"/>
  </si>
  <si>
    <r>
      <t>要確認</t>
    </r>
    <r>
      <rPr>
        <sz val="11"/>
        <rFont val="ＭＳ Ｐゴシック"/>
        <family val="3"/>
        <charset val="128"/>
      </rPr>
      <t>10</t>
    </r>
    <r>
      <rPr>
        <sz val="11"/>
        <rFont val="ＭＳ Ｐゴシック"/>
        <family val="3"/>
        <charset val="128"/>
      </rPr>
      <t>7</t>
    </r>
    <phoneticPr fontId="5"/>
  </si>
  <si>
    <r>
      <t>要確認</t>
    </r>
    <r>
      <rPr>
        <sz val="11"/>
        <rFont val="ＭＳ Ｐゴシック"/>
        <family val="3"/>
        <charset val="128"/>
      </rPr>
      <t>1</t>
    </r>
    <r>
      <rPr>
        <sz val="11"/>
        <rFont val="ＭＳ Ｐゴシック"/>
        <family val="3"/>
        <charset val="128"/>
      </rPr>
      <t>08</t>
    </r>
    <phoneticPr fontId="5"/>
  </si>
  <si>
    <t>要確認一覧表</t>
    <rPh sb="0" eb="1">
      <t>ヨウ</t>
    </rPh>
    <rPh sb="1" eb="3">
      <t>カクニン</t>
    </rPh>
    <rPh sb="3" eb="6">
      <t>イチランヒョウ</t>
    </rPh>
    <phoneticPr fontId="5"/>
  </si>
  <si>
    <t>北海道</t>
    <rPh sb="0" eb="3">
      <t>ホッカイドウ</t>
    </rPh>
    <phoneticPr fontId="5"/>
  </si>
  <si>
    <t>神奈川県</t>
    <rPh sb="0" eb="4">
      <t>カナガワケン</t>
    </rPh>
    <phoneticPr fontId="5"/>
  </si>
  <si>
    <t>愛知県</t>
    <rPh sb="0" eb="2">
      <t>アイチ</t>
    </rPh>
    <rPh sb="2" eb="3">
      <t>ケン</t>
    </rPh>
    <phoneticPr fontId="5"/>
  </si>
  <si>
    <t>要確認71</t>
    <phoneticPr fontId="5"/>
  </si>
  <si>
    <t>要確認72</t>
    <phoneticPr fontId="5"/>
  </si>
  <si>
    <t>要確認73</t>
    <phoneticPr fontId="5"/>
  </si>
  <si>
    <t>要確認74</t>
    <phoneticPr fontId="5"/>
  </si>
  <si>
    <t>要確認75</t>
    <phoneticPr fontId="5"/>
  </si>
  <si>
    <t>要確認76</t>
    <phoneticPr fontId="5"/>
  </si>
  <si>
    <t>要確認77</t>
    <phoneticPr fontId="5"/>
  </si>
  <si>
    <t>要確認83</t>
    <phoneticPr fontId="5"/>
  </si>
  <si>
    <t>要確認84</t>
    <phoneticPr fontId="5"/>
  </si>
  <si>
    <t>要確認85</t>
    <phoneticPr fontId="5"/>
  </si>
  <si>
    <t>要確認86</t>
    <phoneticPr fontId="5"/>
  </si>
  <si>
    <t>Ⅳ</t>
    <phoneticPr fontId="5"/>
  </si>
  <si>
    <t>062：堺市</t>
    <rPh sb="4" eb="6">
      <t>サカイシ</t>
    </rPh>
    <phoneticPr fontId="5"/>
  </si>
  <si>
    <t>052：京都市</t>
  </si>
  <si>
    <t>053：大阪市</t>
  </si>
  <si>
    <t>054：神戸市</t>
  </si>
  <si>
    <t>055：北九州市</t>
  </si>
  <si>
    <t>056：福岡市</t>
  </si>
  <si>
    <t>057：広島市</t>
  </si>
  <si>
    <t>058：仙台市</t>
  </si>
  <si>
    <t>059：千葉市</t>
  </si>
  <si>
    <t>999：その他</t>
  </si>
  <si>
    <t>当該二次製品材料費の合計</t>
    <rPh sb="10" eb="12">
      <t>ゴウケイ</t>
    </rPh>
    <phoneticPr fontId="5"/>
  </si>
  <si>
    <t>二次製品</t>
    <rPh sb="0" eb="2">
      <t>ニジ</t>
    </rPh>
    <rPh sb="2" eb="4">
      <t>セイヒン</t>
    </rPh>
    <phoneticPr fontId="5"/>
  </si>
  <si>
    <t>下記対象品目に要した材料費</t>
    <phoneticPr fontId="5"/>
  </si>
  <si>
    <t>１．当該二次製品材料費</t>
    <phoneticPr fontId="5"/>
  </si>
  <si>
    <t>２．当該二次製品材料費の品目の内、</t>
    <phoneticPr fontId="5"/>
  </si>
  <si>
    <t>065：岡山市</t>
    <rPh sb="4" eb="6">
      <t>オカヤマ</t>
    </rPh>
    <phoneticPr fontId="5"/>
  </si>
  <si>
    <t>１)</t>
    <phoneticPr fontId="5"/>
  </si>
  <si>
    <r>
      <t>元請ファイルの共通仮設費が</t>
    </r>
    <r>
      <rPr>
        <b/>
        <sz val="11"/>
        <rFont val="ＭＳ Ｐゴシック"/>
        <family val="3"/>
        <charset val="128"/>
      </rPr>
      <t>「0」</t>
    </r>
    <rPh sb="7" eb="12">
      <t>キョウツウカセツヒ</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</si>
  <si>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カダイ</t>
    </rPh>
    <phoneticPr fontId="5"/>
  </si>
  <si>
    <t>「へ.技術管理費」に入力されている金額</t>
    <rPh sb="3" eb="5">
      <t>ギジュツ</t>
    </rPh>
    <rPh sb="5" eb="7">
      <t>カンリ</t>
    </rPh>
    <rPh sb="7" eb="8">
      <t>ヒ</t>
    </rPh>
    <rPh sb="10" eb="12">
      <t>ニュウリョク</t>
    </rPh>
    <rPh sb="17" eb="19">
      <t>キンガク</t>
    </rPh>
    <phoneticPr fontId="5"/>
  </si>
  <si>
    <t>確認結果</t>
    <rPh sb="0" eb="2">
      <t>カクニン</t>
    </rPh>
    <rPh sb="2" eb="4">
      <t>ケッカ</t>
    </rPh>
    <phoneticPr fontId="5"/>
  </si>
  <si>
    <t>情報共有システム（ＡＳＰのみ）</t>
    <rPh sb="0" eb="2">
      <t>ジョウホウ</t>
    </rPh>
    <rPh sb="2" eb="4">
      <t>キョウユウ</t>
    </rPh>
    <phoneticPr fontId="5"/>
  </si>
  <si>
    <t>情報共有システム（ＡＳＰのみ）使用の有無</t>
    <rPh sb="0" eb="2">
      <t>ジョウホウ</t>
    </rPh>
    <rPh sb="2" eb="4">
      <t>キョウユウ</t>
    </rPh>
    <rPh sb="15" eb="17">
      <t>シヨウ</t>
    </rPh>
    <rPh sb="18" eb="20">
      <t>ウム</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</si>
  <si>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カショウ</t>
    </rPh>
    <phoneticPr fontId="5"/>
  </si>
  <si>
    <t>共通仮設費（積上げ）</t>
    <rPh sb="0" eb="2">
      <t>キョウツウ</t>
    </rPh>
    <rPh sb="2" eb="5">
      <t>カセツヒ</t>
    </rPh>
    <rPh sb="6" eb="8">
      <t>ツミア</t>
    </rPh>
    <phoneticPr fontId="5"/>
  </si>
  <si>
    <r>
      <t>発注ファイル及び元請ファイルの共通仮設費（積上げ）が</t>
    </r>
    <r>
      <rPr>
        <b/>
        <sz val="11"/>
        <rFont val="ＭＳ Ｐゴシック"/>
        <family val="3"/>
        <charset val="128"/>
      </rPr>
      <t>未入力</t>
    </r>
    <r>
      <rPr>
        <sz val="11"/>
        <rFont val="ＭＳ Ｐゴシック"/>
        <family val="3"/>
        <charset val="128"/>
      </rPr>
      <t/>
    </r>
    <rPh sb="15" eb="20">
      <t>キョウツウカセツヒ</t>
    </rPh>
    <rPh sb="21" eb="23">
      <t>ツミア</t>
    </rPh>
    <phoneticPr fontId="5"/>
  </si>
  <si>
    <t>共通仮設費（積上げ）を入力して下さい</t>
    <rPh sb="0" eb="5">
      <t>キョウツウカセツヒ</t>
    </rPh>
    <rPh sb="6" eb="8">
      <t>ツミア</t>
    </rPh>
    <phoneticPr fontId="5"/>
  </si>
  <si>
    <r>
      <t>発注ファイルの共通仮設費（積上げ）が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</si>
  <si>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１．ｼｰﾄ上の表示</t>
    <phoneticPr fontId="5"/>
  </si>
  <si>
    <t>※</t>
    <phoneticPr fontId="5"/>
  </si>
  <si>
    <t>：</t>
    <phoneticPr fontId="5"/>
  </si>
  <si>
    <t>入力箇所を表しています。</t>
    <phoneticPr fontId="5"/>
  </si>
  <si>
    <t>Ⅰ 本工事用地の取得時において、立木の補償等を行いましたか。</t>
    <phoneticPr fontId="5"/>
  </si>
  <si>
    <t>入力金額</t>
    <rPh sb="0" eb="2">
      <t>ニュウリョク</t>
    </rPh>
    <rPh sb="2" eb="4">
      <t>キンガク</t>
    </rPh>
    <phoneticPr fontId="5"/>
  </si>
  <si>
    <t>　（１）共通仮設費</t>
    <rPh sb="4" eb="6">
      <t>キョウツウ</t>
    </rPh>
    <rPh sb="6" eb="9">
      <t>カセツヒ</t>
    </rPh>
    <phoneticPr fontId="5"/>
  </si>
  <si>
    <t>　　１）共通仮設費（積上げ）</t>
    <rPh sb="4" eb="6">
      <t>キョウツウ</t>
    </rPh>
    <rPh sb="6" eb="9">
      <t>カセツヒ</t>
    </rPh>
    <rPh sb="10" eb="12">
      <t>ツミア</t>
    </rPh>
    <phoneticPr fontId="5"/>
  </si>
  <si>
    <t>　（２）補償費</t>
    <rPh sb="4" eb="7">
      <t>ホショウヒ</t>
    </rPh>
    <phoneticPr fontId="5"/>
  </si>
  <si>
    <t>鋼橋等工場製作費
（機器単体費）</t>
    <rPh sb="10" eb="12">
      <t>キキ</t>
    </rPh>
    <rPh sb="12" eb="14">
      <t>タンタイ</t>
    </rPh>
    <rPh sb="14" eb="15">
      <t>ヒ</t>
    </rPh>
    <phoneticPr fontId="5"/>
  </si>
  <si>
    <t>要確認89</t>
    <phoneticPr fontId="5"/>
  </si>
  <si>
    <t>その他の内容を具体的にお書き下さい。</t>
  </si>
  <si>
    <t>⑤</t>
  </si>
  <si>
    <t>設定休日数</t>
  </si>
  <si>
    <t>⑥</t>
  </si>
  <si>
    <t>休日の内訳</t>
  </si>
  <si>
    <t>日）</t>
  </si>
  <si>
    <t>c.</t>
  </si>
  <si>
    <t>d.</t>
  </si>
  <si>
    <t>e.</t>
  </si>
  <si>
    <t>f.</t>
  </si>
  <si>
    <t>⑦</t>
  </si>
  <si>
    <t>全面中止日数</t>
  </si>
  <si>
    <t>⑧</t>
  </si>
  <si>
    <t>部分中止日数</t>
  </si>
  <si>
    <t>施工環境</t>
    <rPh sb="0" eb="2">
      <t>セコウ</t>
    </rPh>
    <rPh sb="2" eb="4">
      <t>カンキョウ</t>
    </rPh>
    <phoneticPr fontId="5"/>
  </si>
  <si>
    <t>③変更後残工事額（足切額を含む）</t>
    <rPh sb="1" eb="3">
      <t>ヘンコウ</t>
    </rPh>
    <rPh sb="3" eb="4">
      <t>ゴ</t>
    </rPh>
    <rPh sb="4" eb="5">
      <t>ザン</t>
    </rPh>
    <rPh sb="5" eb="7">
      <t>コウジ</t>
    </rPh>
    <rPh sb="7" eb="8">
      <t>ガク</t>
    </rPh>
    <rPh sb="9" eb="10">
      <t>アシ</t>
    </rPh>
    <rPh sb="10" eb="11">
      <t>キリ</t>
    </rPh>
    <rPh sb="11" eb="12">
      <t>ガク</t>
    </rPh>
    <rPh sb="13" eb="14">
      <t>フク</t>
    </rPh>
    <phoneticPr fontId="4"/>
  </si>
  <si>
    <t>Ⅲ</t>
    <phoneticPr fontId="4"/>
  </si>
  <si>
    <t>②受注者負担額</t>
    <rPh sb="1" eb="4">
      <t>ジュチュウシャ</t>
    </rPh>
    <rPh sb="4" eb="6">
      <t>フタン</t>
    </rPh>
    <rPh sb="6" eb="7">
      <t>ガク</t>
    </rPh>
    <phoneticPr fontId="4"/>
  </si>
  <si>
    <t>③スライド額</t>
    <rPh sb="5" eb="6">
      <t>ガク</t>
    </rPh>
    <phoneticPr fontId="4"/>
  </si>
  <si>
    <t>④対象品目</t>
    <rPh sb="1" eb="3">
      <t>タイショウ</t>
    </rPh>
    <rPh sb="3" eb="5">
      <t>ヒンモク</t>
    </rPh>
    <phoneticPr fontId="4"/>
  </si>
  <si>
    <t>燃料油</t>
  </si>
  <si>
    <t>鋼材類</t>
  </si>
  <si>
    <t>コンクリート類</t>
    <rPh sb="6" eb="7">
      <t>ルイ</t>
    </rPh>
    <phoneticPr fontId="4"/>
  </si>
  <si>
    <t>その他</t>
    <rPh sb="2" eb="3">
      <t>タ</t>
    </rPh>
    <phoneticPr fontId="4"/>
  </si>
  <si>
    <t>適用開始日
【単品スライドの場合】</t>
    <rPh sb="0" eb="2">
      <t>テキヨウ</t>
    </rPh>
    <rPh sb="2" eb="4">
      <t>カイシ</t>
    </rPh>
    <rPh sb="4" eb="5">
      <t>ビ</t>
    </rPh>
    <rPh sb="7" eb="9">
      <t>タンピン</t>
    </rPh>
    <rPh sb="14" eb="16">
      <t>バアイ</t>
    </rPh>
    <phoneticPr fontId="5"/>
  </si>
  <si>
    <t>Ⅵ</t>
    <phoneticPr fontId="4"/>
  </si>
  <si>
    <t>全体スライド額
インフレスライド額</t>
    <rPh sb="0" eb="2">
      <t>ゼンタイ</t>
    </rPh>
    <rPh sb="6" eb="7">
      <t>ガク</t>
    </rPh>
    <rPh sb="16" eb="17">
      <t>ガク</t>
    </rPh>
    <phoneticPr fontId="5"/>
  </si>
  <si>
    <t>単品スライド額</t>
    <rPh sb="0" eb="2">
      <t>タンピン</t>
    </rPh>
    <rPh sb="6" eb="7">
      <t>ガク</t>
    </rPh>
    <phoneticPr fontId="5"/>
  </si>
  <si>
    <r>
      <t>元請ファイルの材料費が</t>
    </r>
    <r>
      <rPr>
        <b/>
        <sz val="11"/>
        <rFont val="ＭＳ Ｐゴシック"/>
        <family val="3"/>
        <charset val="128"/>
      </rPr>
      <t>未入力</t>
    </r>
    <r>
      <rPr>
        <sz val="11"/>
        <rFont val="ＭＳ Ｐゴシック"/>
        <family val="3"/>
        <charset val="128"/>
      </rPr>
      <t/>
    </r>
    <rPh sb="0" eb="2">
      <t>モトウケ</t>
    </rPh>
    <rPh sb="7" eb="9">
      <t>ザイリョウ</t>
    </rPh>
    <phoneticPr fontId="5"/>
  </si>
  <si>
    <r>
      <t>発注ファイルの材料費が</t>
    </r>
    <r>
      <rPr>
        <b/>
        <sz val="10"/>
        <rFont val="ＭＳ Ｐゴシック"/>
        <family val="3"/>
        <charset val="128"/>
      </rPr>
      <t>「０」</t>
    </r>
    <phoneticPr fontId="5"/>
  </si>
  <si>
    <r>
      <t>元請ファイルの材料費が</t>
    </r>
    <r>
      <rPr>
        <b/>
        <sz val="10"/>
        <rFont val="ＭＳ Ｐゴシック"/>
        <family val="3"/>
        <charset val="128"/>
      </rPr>
      <t>「０」</t>
    </r>
    <rPh sb="0" eb="2">
      <t>モトウケ</t>
    </rPh>
    <phoneticPr fontId="5"/>
  </si>
  <si>
    <t>見積り活用積算方式で見積りを採用した工事</t>
    <rPh sb="10" eb="12">
      <t>ミツモ</t>
    </rPh>
    <rPh sb="14" eb="16">
      <t>サイヨウ</t>
    </rPh>
    <rPh sb="18" eb="20">
      <t>コウジ</t>
    </rPh>
    <phoneticPr fontId="5"/>
  </si>
  <si>
    <t>見積採用項目数</t>
    <rPh sb="0" eb="2">
      <t>ミツモリ</t>
    </rPh>
    <rPh sb="2" eb="4">
      <t>サイヨウ</t>
    </rPh>
    <rPh sb="4" eb="6">
      <t>コウモク</t>
    </rPh>
    <rPh sb="6" eb="7">
      <t>スウ</t>
    </rPh>
    <phoneticPr fontId="5"/>
  </si>
  <si>
    <t>見積採用項目の内容</t>
    <rPh sb="0" eb="2">
      <t>ミツモリ</t>
    </rPh>
    <rPh sb="2" eb="4">
      <t>サイヨウ</t>
    </rPh>
    <rPh sb="4" eb="6">
      <t>コウモク</t>
    </rPh>
    <rPh sb="7" eb="9">
      <t>ナイヨウ</t>
    </rPh>
    <phoneticPr fontId="5"/>
  </si>
  <si>
    <t>実際に用いた積算では、共通仮設費の対象扱いとしているが、共通仮設費率に影響を与えると考えられる以下に該当する品目について入力してください。</t>
    <rPh sb="0" eb="2">
      <t>ジッサイ</t>
    </rPh>
    <rPh sb="3" eb="4">
      <t>モチ</t>
    </rPh>
    <rPh sb="6" eb="8">
      <t>セキサン</t>
    </rPh>
    <rPh sb="11" eb="13">
      <t>キョウツウ</t>
    </rPh>
    <rPh sb="13" eb="16">
      <t>カセツヒ</t>
    </rPh>
    <rPh sb="17" eb="19">
      <t>タイショウ</t>
    </rPh>
    <rPh sb="19" eb="20">
      <t>アツカ</t>
    </rPh>
    <rPh sb="28" eb="30">
      <t>キョウツウ</t>
    </rPh>
    <rPh sb="30" eb="33">
      <t>カセツヒ</t>
    </rPh>
    <rPh sb="33" eb="34">
      <t>リツ</t>
    </rPh>
    <rPh sb="35" eb="37">
      <t>エイキョウ</t>
    </rPh>
    <rPh sb="38" eb="39">
      <t>アタ</t>
    </rPh>
    <rPh sb="42" eb="43">
      <t>カンガ</t>
    </rPh>
    <rPh sb="47" eb="49">
      <t>イカ</t>
    </rPh>
    <rPh sb="50" eb="52">
      <t>ガイトウ</t>
    </rPh>
    <rPh sb="54" eb="56">
      <t>ヒンモク</t>
    </rPh>
    <rPh sb="60" eb="62">
      <t>ニュウリョク</t>
    </rPh>
    <phoneticPr fontId="5"/>
  </si>
  <si>
    <t>ＴＳ・ＧＮＳＳを用いた締固め管理</t>
  </si>
  <si>
    <t>２ＤMＧ（バックホウ）</t>
  </si>
  <si>
    <t>２ＤMＧ（ブルドーザ）</t>
  </si>
  <si>
    <t>情報化施工の種別</t>
    <rPh sb="0" eb="3">
      <t>ジョウホウカ</t>
    </rPh>
    <rPh sb="3" eb="5">
      <t>セコウ</t>
    </rPh>
    <rPh sb="6" eb="8">
      <t>シュベツ</t>
    </rPh>
    <phoneticPr fontId="5"/>
  </si>
  <si>
    <t>種別</t>
    <rPh sb="0" eb="2">
      <t>シュベツ</t>
    </rPh>
    <phoneticPr fontId="5"/>
  </si>
  <si>
    <t>※直接工事費には含まない</t>
    <rPh sb="1" eb="3">
      <t>チョクセツ</t>
    </rPh>
    <rPh sb="3" eb="6">
      <t>コウジヒ</t>
    </rPh>
    <rPh sb="8" eb="9">
      <t>フク</t>
    </rPh>
    <phoneticPr fontId="4"/>
  </si>
  <si>
    <t>氏名</t>
  </si>
  <si>
    <t>役職名</t>
  </si>
  <si>
    <t>共通仮設費　（　積上げ分　）</t>
    <rPh sb="8" eb="10">
      <t>ツミア</t>
    </rPh>
    <rPh sb="11" eb="12">
      <t>ブン</t>
    </rPh>
    <phoneticPr fontId="5"/>
  </si>
  <si>
    <t>１)</t>
    <phoneticPr fontId="5"/>
  </si>
  <si>
    <t>イ</t>
    <phoneticPr fontId="4"/>
  </si>
  <si>
    <t>ハ</t>
    <phoneticPr fontId="5"/>
  </si>
  <si>
    <t>事業損失防止施設費</t>
    <phoneticPr fontId="5"/>
  </si>
  <si>
    <t>(２)</t>
    <phoneticPr fontId="5"/>
  </si>
  <si>
    <t>(３)</t>
    <phoneticPr fontId="5"/>
  </si>
  <si>
    <t>現場管理費</t>
    <phoneticPr fontId="4"/>
  </si>
  <si>
    <r>
      <t>1.直接工事費や間接工事費で二重計上はないか？
2.元請と下請で二重計上はないか？
3.直接工事費や間接工事費に円単位での誤入力はないか？
4.一般管理費等の項目は、工事価格から工事原価を差し引いた金額です。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二重計上等があると一般管理費等の金額が小さくなります。計上間違いがないか確認して下さい</t>
    </r>
    <rPh sb="26" eb="28">
      <t>モトウケ</t>
    </rPh>
    <rPh sb="29" eb="31">
      <t>シタウケ</t>
    </rPh>
    <rPh sb="32" eb="34">
      <t>ニジュウ</t>
    </rPh>
    <rPh sb="34" eb="36">
      <t>ケイジョウ</t>
    </rPh>
    <rPh sb="44" eb="46">
      <t>チョクセツ</t>
    </rPh>
    <rPh sb="46" eb="49">
      <t>コウジヒ</t>
    </rPh>
    <rPh sb="50" eb="52">
      <t>カンセツ</t>
    </rPh>
    <rPh sb="52" eb="55">
      <t>コウジヒ</t>
    </rPh>
    <rPh sb="56" eb="57">
      <t>エン</t>
    </rPh>
    <rPh sb="57" eb="59">
      <t>タンイ</t>
    </rPh>
    <rPh sb="61" eb="64">
      <t>ゴニュウリョク</t>
    </rPh>
    <rPh sb="104" eb="106">
      <t>ニジュウ</t>
    </rPh>
    <rPh sb="106" eb="108">
      <t>ケイジョウ</t>
    </rPh>
    <rPh sb="123" eb="124">
      <t>チイ</t>
    </rPh>
    <rPh sb="133" eb="135">
      <t>マチガ</t>
    </rPh>
    <phoneticPr fontId="5"/>
  </si>
  <si>
    <t>規格</t>
    <rPh sb="0" eb="2">
      <t>キカク</t>
    </rPh>
    <phoneticPr fontId="4"/>
  </si>
  <si>
    <t>細別名称</t>
    <rPh sb="0" eb="2">
      <t>サイベツ</t>
    </rPh>
    <rPh sb="2" eb="4">
      <t>メイショウ</t>
    </rPh>
    <phoneticPr fontId="4"/>
  </si>
  <si>
    <t>単位</t>
    <rPh sb="0" eb="2">
      <t>タンイ</t>
    </rPh>
    <phoneticPr fontId="4"/>
  </si>
  <si>
    <t>数量</t>
    <rPh sb="0" eb="2">
      <t>スウリョウ</t>
    </rPh>
    <phoneticPr fontId="4"/>
  </si>
  <si>
    <t>1.金額は「千円」単位での入力になっているか？
2.発注ファイルの入力金額は正しいか？
3.元請ファイルの入力金額は正しいか？
　①他費目（交通誘導員、共通仮設費や現場管理費の賃金など）との二重計上で金額過大になっていないか？
　②現場管理者（現場代理人、監理技術者など）の賃金を誤計上し、金額過大になっていないか？</t>
    <rPh sb="100" eb="102">
      <t>キンガク</t>
    </rPh>
    <rPh sb="102" eb="104">
      <t>カダイ</t>
    </rPh>
    <rPh sb="116" eb="118">
      <t>ゲンバ</t>
    </rPh>
    <rPh sb="118" eb="121">
      <t>カンリシャ</t>
    </rPh>
    <rPh sb="122" eb="124">
      <t>ゲンバ</t>
    </rPh>
    <rPh sb="124" eb="127">
      <t>ダイリニン</t>
    </rPh>
    <rPh sb="128" eb="130">
      <t>カンリ</t>
    </rPh>
    <rPh sb="130" eb="133">
      <t>ギジュツシャ</t>
    </rPh>
    <rPh sb="137" eb="139">
      <t>チンギン</t>
    </rPh>
    <rPh sb="140" eb="141">
      <t>ゴ</t>
    </rPh>
    <rPh sb="141" eb="143">
      <t>ケイジョウ</t>
    </rPh>
    <rPh sb="145" eb="147">
      <t>キンガク</t>
    </rPh>
    <rPh sb="147" eb="149">
      <t>カダイ</t>
    </rPh>
    <phoneticPr fontId="5"/>
  </si>
  <si>
    <r>
      <t>元請ファイルの共通仮設費（積上げ）が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</si>
  <si>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（この内日曜休・土曜休・祝日休の日数</t>
    <phoneticPr fontId="4"/>
  </si>
  <si>
    <t>ｺﾞｰﾙﾃﾞﾝｳｲｰｸの設定休日数</t>
    <phoneticPr fontId="4"/>
  </si>
  <si>
    <t>夏休みの設定休日数</t>
    <phoneticPr fontId="4"/>
  </si>
  <si>
    <t>（具体的内容</t>
    <phoneticPr fontId="4"/>
  </si>
  <si>
    <t>）</t>
    <phoneticPr fontId="4"/>
  </si>
  <si>
    <t>Ⅲ</t>
    <phoneticPr fontId="5"/>
  </si>
  <si>
    <t>Ⅰ.見積り活用積算方式</t>
    <phoneticPr fontId="5"/>
  </si>
  <si>
    <t>Ⅱ.間接工事費実績変更方式</t>
    <phoneticPr fontId="5"/>
  </si>
  <si>
    <r>
      <t>発注ファイル及び元請ファイルの請負金額が</t>
    </r>
    <r>
      <rPr>
        <b/>
        <sz val="11"/>
        <rFont val="ＭＳ Ｐゴシック"/>
        <family val="3"/>
        <charset val="128"/>
      </rPr>
      <t>未入力</t>
    </r>
    <phoneticPr fontId="5"/>
  </si>
  <si>
    <t>請負金額を入力して下さい</t>
    <rPh sb="9" eb="10">
      <t>クダ</t>
    </rPh>
    <phoneticPr fontId="5"/>
  </si>
  <si>
    <r>
      <t>発注ファイルの請負金額が</t>
    </r>
    <r>
      <rPr>
        <b/>
        <sz val="10"/>
        <rFont val="ＭＳ Ｐゴシック"/>
        <family val="3"/>
        <charset val="128"/>
      </rPr>
      <t>未入力</t>
    </r>
    <phoneticPr fontId="5"/>
  </si>
  <si>
    <r>
      <t>元請ファイルの請負金額が</t>
    </r>
    <r>
      <rPr>
        <b/>
        <sz val="10"/>
        <rFont val="ＭＳ Ｐゴシック"/>
        <family val="3"/>
        <charset val="128"/>
      </rPr>
      <t>未入力</t>
    </r>
    <rPh sb="0" eb="2">
      <t>モトウケ</t>
    </rPh>
    <phoneticPr fontId="5"/>
  </si>
  <si>
    <r>
      <t>発注ファイルと元請ファイルの請負金額が</t>
    </r>
    <r>
      <rPr>
        <b/>
        <sz val="11"/>
        <rFont val="ＭＳ Ｐゴシック"/>
        <family val="3"/>
        <charset val="128"/>
      </rPr>
      <t>不一致</t>
    </r>
    <r>
      <rPr>
        <sz val="11"/>
        <rFont val="ＭＳ Ｐゴシック"/>
        <family val="3"/>
        <charset val="128"/>
      </rPr>
      <t/>
    </r>
    <rPh sb="19" eb="22">
      <t>フイッチ</t>
    </rPh>
    <phoneticPr fontId="5"/>
  </si>
  <si>
    <t>　1.各積算方式の有無について「○」又は「×」を入力してください。</t>
    <rPh sb="3" eb="4">
      <t>カク</t>
    </rPh>
    <rPh sb="4" eb="6">
      <t>セキサン</t>
    </rPh>
    <rPh sb="6" eb="8">
      <t>ホウシキ</t>
    </rPh>
    <rPh sb="9" eb="11">
      <t>ウム</t>
    </rPh>
    <rPh sb="18" eb="19">
      <t>マタ</t>
    </rPh>
    <rPh sb="24" eb="26">
      <t>ニュウリョク</t>
    </rPh>
    <phoneticPr fontId="5"/>
  </si>
  <si>
    <t>　2.上記で「○」を入力した場合は、項目数と項目内容を入力してください。</t>
    <rPh sb="3" eb="5">
      <t>ジョウキ</t>
    </rPh>
    <rPh sb="10" eb="12">
      <t>ニュウリョク</t>
    </rPh>
    <rPh sb="14" eb="16">
      <t>バアイ</t>
    </rPh>
    <rPh sb="18" eb="20">
      <t>コウモク</t>
    </rPh>
    <rPh sb="20" eb="21">
      <t>スウ</t>
    </rPh>
    <rPh sb="22" eb="24">
      <t>コウモク</t>
    </rPh>
    <rPh sb="24" eb="26">
      <t>ナイヨウ</t>
    </rPh>
    <rPh sb="27" eb="29">
      <t>ニュウリョク</t>
    </rPh>
    <phoneticPr fontId="5"/>
  </si>
  <si>
    <t>施工地域</t>
    <rPh sb="0" eb="2">
      <t>セコウ</t>
    </rPh>
    <rPh sb="2" eb="4">
      <t>チイキ</t>
    </rPh>
    <phoneticPr fontId="5"/>
  </si>
  <si>
    <t>件</t>
    <rPh sb="0" eb="1">
      <t>ケン</t>
    </rPh>
    <phoneticPr fontId="5"/>
  </si>
  <si>
    <t>一般事項</t>
    <phoneticPr fontId="5"/>
  </si>
  <si>
    <t>工事費</t>
    <phoneticPr fontId="5"/>
  </si>
  <si>
    <t>工期</t>
    <phoneticPr fontId="5"/>
  </si>
  <si>
    <t>施工環境</t>
    <phoneticPr fontId="5"/>
  </si>
  <si>
    <t>（地権者が複数等、補償方式も複数ある場合、複数回答可）</t>
    <phoneticPr fontId="5"/>
  </si>
  <si>
    <r>
      <t>1.直接工事費や間接工事費で二重計上はないか？
2.直接工事費や間接工事費に円単位での誤入力はないか？
3.外注一般管理費等の項目は、工事価格から工事原価を差し引いた金額です。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t>
    </r>
    <r>
      <rPr>
        <sz val="10"/>
        <rFont val="ＭＳ Ｐゴシック"/>
        <family val="3"/>
        <charset val="128"/>
      </rPr>
      <t>して下さい</t>
    </r>
    <rPh sb="26" eb="28">
      <t>チョクセツ</t>
    </rPh>
    <rPh sb="28" eb="31">
      <t>コウジヒ</t>
    </rPh>
    <rPh sb="32" eb="34">
      <t>カンセツ</t>
    </rPh>
    <rPh sb="34" eb="37">
      <t>コウジヒ</t>
    </rPh>
    <rPh sb="38" eb="39">
      <t>エン</t>
    </rPh>
    <rPh sb="39" eb="41">
      <t>タンイ</t>
    </rPh>
    <rPh sb="43" eb="46">
      <t>ゴニュウリョク</t>
    </rPh>
    <rPh sb="54" eb="56">
      <t>ガイチュウ</t>
    </rPh>
    <rPh sb="88" eb="90">
      <t>ニジュウ</t>
    </rPh>
    <rPh sb="90" eb="92">
      <t>ケイジョウ</t>
    </rPh>
    <rPh sb="107" eb="108">
      <t>チイ</t>
    </rPh>
    <rPh sb="117" eb="119">
      <t>マチガ</t>
    </rPh>
    <phoneticPr fontId="5"/>
  </si>
  <si>
    <r>
      <t>1.直接工事費及び間接工事費等に計上漏れはないか？
2.二次下請以降の費用が計上漏れとなっていないか？
3.外注一般管理費等の項目は、工事価格から工事原価を差し引いた金額です。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ニジ</t>
    </rPh>
    <rPh sb="30" eb="32">
      <t>シタウケ</t>
    </rPh>
    <rPh sb="32" eb="34">
      <t>イコウ</t>
    </rPh>
    <rPh sb="35" eb="37">
      <t>ヒヨウ</t>
    </rPh>
    <rPh sb="38" eb="40">
      <t>ケイジョウ</t>
    </rPh>
    <rPh sb="40" eb="41">
      <t>モ</t>
    </rPh>
    <rPh sb="54" eb="56">
      <t>ガイチュウ</t>
    </rPh>
    <phoneticPr fontId="5"/>
  </si>
  <si>
    <r>
      <t>『最終積算金額』</t>
    </r>
    <r>
      <rPr>
        <sz val="11"/>
        <rFont val="ＭＳ Ｐゴシック"/>
        <family val="3"/>
        <charset val="128"/>
      </rPr>
      <t>を入力して下さい。
注）消費税抜きで記入してください。</t>
    </r>
    <rPh sb="9" eb="11">
      <t>ニュウリョク</t>
    </rPh>
    <rPh sb="13" eb="14">
      <t>クダ</t>
    </rPh>
    <rPh sb="18" eb="19">
      <t>チュウ</t>
    </rPh>
    <rPh sb="20" eb="22">
      <t>ショウヒ</t>
    </rPh>
    <rPh sb="22" eb="23">
      <t>ゼイ</t>
    </rPh>
    <rPh sb="23" eb="24">
      <t>ヌ</t>
    </rPh>
    <rPh sb="26" eb="28">
      <t>キニュウ</t>
    </rPh>
    <phoneticPr fontId="5"/>
  </si>
  <si>
    <t>当初落札率
（当初工事価格/当初積算工事価格）</t>
    <rPh sb="0" eb="2">
      <t>トウショ</t>
    </rPh>
    <rPh sb="2" eb="4">
      <t>ラクサツ</t>
    </rPh>
    <rPh sb="4" eb="5">
      <t>リツ</t>
    </rPh>
    <rPh sb="14" eb="16">
      <t>トウショ</t>
    </rPh>
    <rPh sb="16" eb="18">
      <t>セキサン</t>
    </rPh>
    <rPh sb="18" eb="20">
      <t>コウジ</t>
    </rPh>
    <rPh sb="20" eb="22">
      <t>カカク</t>
    </rPh>
    <phoneticPr fontId="5"/>
  </si>
  <si>
    <t>チェックシートのチェック結果欄に「要確認」が表示される場合は、下記の内容を参考に受発注ファイルの入力金額を確認してください。</t>
    <rPh sb="12" eb="14">
      <t>ケッカ</t>
    </rPh>
    <rPh sb="14" eb="15">
      <t>ラン</t>
    </rPh>
    <rPh sb="17" eb="20">
      <t>ヨウカクニン</t>
    </rPh>
    <phoneticPr fontId="5"/>
  </si>
  <si>
    <t>要確認番号</t>
    <rPh sb="0" eb="1">
      <t>ヨウ</t>
    </rPh>
    <rPh sb="1" eb="3">
      <t>カクニン</t>
    </rPh>
    <rPh sb="3" eb="5">
      <t>バンゴウ</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</si>
  <si>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カショウ</t>
    </rPh>
    <phoneticPr fontId="5"/>
  </si>
  <si>
    <t>1.鋼橋等工場製作費を入力して下さい
2.費用が発生しない場合は0を入力して下さい</t>
    <rPh sb="2" eb="4">
      <t>コウキョウ</t>
    </rPh>
    <rPh sb="4" eb="5">
      <t>トウ</t>
    </rPh>
    <rPh sb="5" eb="7">
      <t>コウジョウ</t>
    </rPh>
    <rPh sb="7" eb="10">
      <t>セイサクヒ</t>
    </rPh>
    <rPh sb="24" eb="26">
      <t>ハッセイ</t>
    </rPh>
    <phoneticPr fontId="5"/>
  </si>
  <si>
    <t>発注者側の積算品目に相当する実績額を元請ファイルに入力するよう元請担当者に伝えて下さい
（元請ファイルでは鋼橋等工場製作費分を直接工事費の材料費に誤計上していることが考えられます）</t>
    <rPh sb="37" eb="38">
      <t>ツタ</t>
    </rPh>
    <rPh sb="40" eb="41">
      <t>クダ</t>
    </rPh>
    <rPh sb="45" eb="47">
      <t>モトウケ</t>
    </rPh>
    <rPh sb="73" eb="74">
      <t>ゴ</t>
    </rPh>
    <rPh sb="83" eb="84">
      <t>カンガ</t>
    </rPh>
    <phoneticPr fontId="5"/>
  </si>
  <si>
    <t>金額(千円)</t>
    <rPh sb="0" eb="2">
      <t>キンガク</t>
    </rPh>
    <rPh sb="3" eb="5">
      <t>センエン</t>
    </rPh>
    <phoneticPr fontId="5"/>
  </si>
  <si>
    <t>Ｔ</t>
    <phoneticPr fontId="4"/>
  </si>
  <si>
    <t>金額（千円）</t>
    <rPh sb="0" eb="2">
      <t>キンガク</t>
    </rPh>
    <rPh sb="3" eb="5">
      <t>センエン</t>
    </rPh>
    <phoneticPr fontId="4"/>
  </si>
  <si>
    <t>詳細は、マニュアルを参照してください。</t>
    <rPh sb="0" eb="2">
      <t>ショウサイ</t>
    </rPh>
    <rPh sb="10" eb="12">
      <t>サンショウ</t>
    </rPh>
    <phoneticPr fontId="5"/>
  </si>
  <si>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</si>
  <si>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</si>
  <si>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</si>
  <si>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</si>
  <si>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</si>
  <si>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</si>
  <si>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</si>
  <si>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</si>
  <si>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</si>
  <si>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</si>
  <si>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</si>
  <si>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</si>
  <si>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</si>
  <si>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</si>
  <si>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</si>
  <si>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</si>
  <si>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</si>
  <si>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</si>
  <si>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</si>
  <si>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</si>
  <si>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</si>
  <si>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</si>
  <si>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</si>
  <si>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</si>
  <si>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</si>
  <si>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</si>
  <si>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</si>
  <si>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</si>
  <si>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</si>
  <si>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</si>
  <si>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</si>
  <si>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</si>
  <si>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</si>
  <si>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</si>
  <si>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</si>
  <si>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</si>
  <si>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</si>
  <si>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</si>
  <si>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</si>
  <si>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</si>
  <si>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</si>
  <si>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</si>
  <si>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</si>
  <si>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</si>
  <si>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</si>
  <si>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</si>
  <si>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</si>
  <si>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</si>
  <si>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</si>
  <si>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</si>
  <si>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</si>
  <si>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r>
      <t>受発注で材料費の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7">
      <t>ザイリョウヒ</t>
    </rPh>
    <rPh sb="8" eb="10">
      <t>キンガク</t>
    </rPh>
    <rPh sb="10" eb="11">
      <t>サ</t>
    </rPh>
    <rPh sb="12" eb="13">
      <t>オオ</t>
    </rPh>
    <rPh sb="17" eb="19">
      <t>モトウケ</t>
    </rPh>
    <rPh sb="23" eb="25">
      <t>ジッセキ</t>
    </rPh>
    <rPh sb="25" eb="26">
      <t>ガク</t>
    </rPh>
    <rPh sb="27" eb="29">
      <t>カダイ</t>
    </rPh>
    <phoneticPr fontId="5"/>
  </si>
  <si>
    <t>外注一般管理費等が小さい（マイナス）</t>
    <rPh sb="0" eb="2">
      <t>ガイチュウ</t>
    </rPh>
    <rPh sb="2" eb="4">
      <t>イッパン</t>
    </rPh>
    <rPh sb="4" eb="7">
      <t>カンリヒ</t>
    </rPh>
    <rPh sb="7" eb="8">
      <t>トウ</t>
    </rPh>
    <rPh sb="9" eb="10">
      <t>チイ</t>
    </rPh>
    <phoneticPr fontId="5"/>
  </si>
  <si>
    <t>チェック結果</t>
    <rPh sb="4" eb="6">
      <t>ケッカ</t>
    </rPh>
    <phoneticPr fontId="5"/>
  </si>
  <si>
    <t>下請会社名</t>
    <rPh sb="0" eb="2">
      <t>シタウケ</t>
    </rPh>
    <rPh sb="2" eb="4">
      <t>カイシャ</t>
    </rPh>
    <rPh sb="4" eb="5">
      <t>メイ</t>
    </rPh>
    <phoneticPr fontId="5"/>
  </si>
  <si>
    <t>労務費</t>
    <rPh sb="0" eb="3">
      <t>ロウムヒ</t>
    </rPh>
    <phoneticPr fontId="5"/>
  </si>
  <si>
    <r>
      <t>発注ファイル及び元請ファイルの労務費が</t>
    </r>
    <r>
      <rPr>
        <b/>
        <sz val="11"/>
        <rFont val="ＭＳ Ｐゴシック"/>
        <family val="3"/>
        <charset val="128"/>
      </rPr>
      <t>未入力</t>
    </r>
    <r>
      <rPr>
        <sz val="11"/>
        <rFont val="ＭＳ Ｐゴシック"/>
        <family val="3"/>
        <charset val="128"/>
      </rPr>
      <t/>
    </r>
    <rPh sb="15" eb="17">
      <t>ロウム</t>
    </rPh>
    <phoneticPr fontId="5"/>
  </si>
  <si>
    <t>事務所名</t>
    <rPh sb="0" eb="3">
      <t>ジムショ</t>
    </rPh>
    <rPh sb="3" eb="4">
      <t>メイ</t>
    </rPh>
    <phoneticPr fontId="5"/>
  </si>
  <si>
    <t>項　　目</t>
    <rPh sb="0" eb="1">
      <t>コウ</t>
    </rPh>
    <rPh sb="3" eb="4">
      <t>メ</t>
    </rPh>
    <phoneticPr fontId="5"/>
  </si>
  <si>
    <r>
      <t>　管理費区分１ ： 共通仮設費のみ非対象
　管理費区分２ ： 工場管理費・一般管理費の対象
　管理費区分５ ： 一般管理費等対象
　管理費区分７ ： 間接労務費対象労務費
　管理費区分８ ： 技術者間接対象金額
　管理費区分９ ： 率計算の非対象
　管理費区分Ｔ ： 処分費等の対象にする　　　　　　　　　　　　　　　　　　　　　　　　　　　　　　　　　　　　　　　　　　　</t>
    </r>
    <r>
      <rPr>
        <sz val="10"/>
        <rFont val="ＭＳ Ｐゴシック"/>
        <family val="3"/>
        <charset val="128"/>
      </rPr>
      <t>※金額は</t>
    </r>
    <r>
      <rPr>
        <b/>
        <sz val="11"/>
        <rFont val="ＭＳ Ｐゴシック"/>
        <family val="3"/>
        <charset val="128"/>
      </rPr>
      <t>千円単位</t>
    </r>
    <r>
      <rPr>
        <sz val="10"/>
        <rFont val="ＭＳ Ｐゴシック"/>
        <family val="3"/>
        <charset val="128"/>
      </rPr>
      <t>で入力してください。</t>
    </r>
    <rPh sb="1" eb="4">
      <t>カンリヒ</t>
    </rPh>
    <rPh sb="4" eb="6">
      <t>クブン</t>
    </rPh>
    <rPh sb="10" eb="12">
      <t>キョウツウ</t>
    </rPh>
    <rPh sb="12" eb="15">
      <t>カセツヒ</t>
    </rPh>
    <rPh sb="17" eb="20">
      <t>ヒタイショウ</t>
    </rPh>
    <rPh sb="22" eb="25">
      <t>カンリヒ</t>
    </rPh>
    <rPh sb="25" eb="27">
      <t>クブン</t>
    </rPh>
    <rPh sb="31" eb="33">
      <t>コウジョウ</t>
    </rPh>
    <rPh sb="33" eb="36">
      <t>カンリヒ</t>
    </rPh>
    <rPh sb="37" eb="39">
      <t>イッパン</t>
    </rPh>
    <rPh sb="39" eb="42">
      <t>カンリヒ</t>
    </rPh>
    <rPh sb="43" eb="45">
      <t>タイショウ</t>
    </rPh>
    <rPh sb="61" eb="62">
      <t>トウ</t>
    </rPh>
    <rPh sb="75" eb="77">
      <t>カンセツ</t>
    </rPh>
    <rPh sb="77" eb="80">
      <t>ロウムヒ</t>
    </rPh>
    <rPh sb="82" eb="85">
      <t>ロウムヒ</t>
    </rPh>
    <rPh sb="96" eb="99">
      <t>ギジュツシャ</t>
    </rPh>
    <rPh sb="99" eb="101">
      <t>カンセツ</t>
    </rPh>
    <rPh sb="101" eb="103">
      <t>タイショウ</t>
    </rPh>
    <rPh sb="103" eb="105">
      <t>キンガク</t>
    </rPh>
    <rPh sb="116" eb="117">
      <t>リツ</t>
    </rPh>
    <rPh sb="117" eb="119">
      <t>ケイサン</t>
    </rPh>
    <rPh sb="120" eb="121">
      <t>ヒ</t>
    </rPh>
    <rPh sb="121" eb="123">
      <t>タイショウ</t>
    </rPh>
    <rPh sb="134" eb="137">
      <t>ショブンヒ</t>
    </rPh>
    <rPh sb="137" eb="138">
      <t>トウ</t>
    </rPh>
    <rPh sb="139" eb="141">
      <t>タイショウ</t>
    </rPh>
    <rPh sb="188" eb="190">
      <t>キンガク</t>
    </rPh>
    <rPh sb="191" eb="193">
      <t>センエン</t>
    </rPh>
    <rPh sb="193" eb="195">
      <t>タンイ</t>
    </rPh>
    <rPh sb="196" eb="198">
      <t>ニュウリョク</t>
    </rPh>
    <phoneticPr fontId="4"/>
  </si>
  <si>
    <t>　管理費区分8</t>
    <phoneticPr fontId="4"/>
  </si>
  <si>
    <t>管理費区分</t>
    <rPh sb="0" eb="3">
      <t>カンリヒ</t>
    </rPh>
    <rPh sb="3" eb="5">
      <t>クブン</t>
    </rPh>
    <phoneticPr fontId="4"/>
  </si>
  <si>
    <t>　③ 受発注者の入力金額対比</t>
    <rPh sb="3" eb="6">
      <t>ジュハッチュウ</t>
    </rPh>
    <rPh sb="6" eb="7">
      <t>シャ</t>
    </rPh>
    <rPh sb="8" eb="10">
      <t>ニュウリョク</t>
    </rPh>
    <rPh sb="10" eb="12">
      <t>キンガク</t>
    </rPh>
    <rPh sb="12" eb="14">
      <t>タイヒ</t>
    </rPh>
    <phoneticPr fontId="5"/>
  </si>
  <si>
    <t>建設機械Ⅰ</t>
    <rPh sb="0" eb="2">
      <t>ケンセツ</t>
    </rPh>
    <rPh sb="2" eb="4">
      <t>キカイ</t>
    </rPh>
    <phoneticPr fontId="5"/>
  </si>
  <si>
    <t>積算方式に関する調査</t>
    <rPh sb="0" eb="2">
      <t>セキサン</t>
    </rPh>
    <rPh sb="2" eb="4">
      <t>ホウシキ</t>
    </rPh>
    <rPh sb="5" eb="6">
      <t>カン</t>
    </rPh>
    <rPh sb="8" eb="10">
      <t>チョウサ</t>
    </rPh>
    <phoneticPr fontId="5"/>
  </si>
  <si>
    <t>○</t>
    <phoneticPr fontId="5"/>
  </si>
  <si>
    <t>×</t>
    <phoneticPr fontId="5"/>
  </si>
  <si>
    <t>NO</t>
  </si>
  <si>
    <t>落札率</t>
    <rPh sb="0" eb="2">
      <t>ラクサツ</t>
    </rPh>
    <rPh sb="2" eb="3">
      <t>リツ</t>
    </rPh>
    <phoneticPr fontId="5"/>
  </si>
  <si>
    <t>発注者側記入者</t>
    <phoneticPr fontId="4"/>
  </si>
  <si>
    <t>（例1234-1111-2222)</t>
    <rPh sb="1" eb="2">
      <t>レイ</t>
    </rPh>
    <phoneticPr fontId="4"/>
  </si>
  <si>
    <t>（例1234-1111-3333)</t>
    <rPh sb="1" eb="2">
      <t>レイ</t>
    </rPh>
    <phoneticPr fontId="4"/>
  </si>
  <si>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カショウ</t>
    </rPh>
    <phoneticPr fontId="5"/>
  </si>
  <si>
    <t>1.金額は「千円」単位での入力になっているか？
2.発注ファイルの入力金額は正しいか？
3.元請ファイルの入力金額は正しいか？
　①「社員等従業員給料手当」や「法定福利費」などに計上漏れはないか？</t>
    <phoneticPr fontId="5"/>
  </si>
  <si>
    <t>農林建築工事</t>
    <rPh sb="0" eb="2">
      <t>ノウリン</t>
    </rPh>
    <rPh sb="2" eb="4">
      <t>ケンチク</t>
    </rPh>
    <rPh sb="4" eb="6">
      <t>コウジ</t>
    </rPh>
    <phoneticPr fontId="5"/>
  </si>
  <si>
    <t>(単位：千円)</t>
    <phoneticPr fontId="4"/>
  </si>
  <si>
    <t>(単位：千円)</t>
    <phoneticPr fontId="4"/>
  </si>
  <si>
    <t>労務費を入力して下さい</t>
    <rPh sb="0" eb="2">
      <t>ロウム</t>
    </rPh>
    <phoneticPr fontId="5"/>
  </si>
  <si>
    <r>
      <t>発注ファイルの労務費が</t>
    </r>
    <r>
      <rPr>
        <b/>
        <sz val="11"/>
        <rFont val="ＭＳ Ｐゴシック"/>
        <family val="3"/>
        <charset val="128"/>
      </rPr>
      <t>未入力</t>
    </r>
    <r>
      <rPr>
        <sz val="11"/>
        <rFont val="ＭＳ Ｐゴシック"/>
        <family val="3"/>
        <charset val="128"/>
      </rPr>
      <t/>
    </r>
    <rPh sb="7" eb="9">
      <t>ロウム</t>
    </rPh>
    <phoneticPr fontId="5"/>
  </si>
  <si>
    <r>
      <t>元請ファイルの労務費が</t>
    </r>
    <r>
      <rPr>
        <b/>
        <sz val="11"/>
        <rFont val="ＭＳ Ｐゴシック"/>
        <family val="3"/>
        <charset val="128"/>
      </rPr>
      <t>未入力</t>
    </r>
    <r>
      <rPr>
        <sz val="11"/>
        <rFont val="ＭＳ Ｐゴシック"/>
        <family val="3"/>
        <charset val="128"/>
      </rPr>
      <t/>
    </r>
    <rPh sb="7" eb="9">
      <t>ロウム</t>
    </rPh>
    <phoneticPr fontId="5"/>
  </si>
  <si>
    <r>
      <t>発注ファイルの労務費が</t>
    </r>
    <r>
      <rPr>
        <b/>
        <sz val="11"/>
        <rFont val="ＭＳ Ｐゴシック"/>
        <family val="3"/>
        <charset val="128"/>
      </rPr>
      <t>「0」</t>
    </r>
    <rPh sb="7" eb="9">
      <t>ロウム</t>
    </rPh>
    <phoneticPr fontId="5"/>
  </si>
  <si>
    <r>
      <t>元請ファイルの労務費が</t>
    </r>
    <r>
      <rPr>
        <b/>
        <sz val="11"/>
        <rFont val="ＭＳ Ｐゴシック"/>
        <family val="3"/>
        <charset val="128"/>
      </rPr>
      <t>「0」</t>
    </r>
    <rPh sb="7" eb="9">
      <t>ロウム</t>
    </rPh>
    <phoneticPr fontId="5"/>
  </si>
  <si>
    <r>
      <t>発注ファイル及び元請ファイルの共通仮設費が</t>
    </r>
    <r>
      <rPr>
        <b/>
        <sz val="11"/>
        <rFont val="ＭＳ Ｐゴシック"/>
        <family val="3"/>
        <charset val="128"/>
      </rPr>
      <t>未入力</t>
    </r>
    <r>
      <rPr>
        <sz val="11"/>
        <rFont val="ＭＳ Ｐゴシック"/>
        <family val="3"/>
        <charset val="128"/>
      </rPr>
      <t/>
    </r>
    <rPh sb="15" eb="20">
      <t>キョウツウカセツヒ</t>
    </rPh>
    <phoneticPr fontId="5"/>
  </si>
  <si>
    <t>共通仮設費を入力して下さい</t>
    <rPh sb="0" eb="2">
      <t>キョウツウ</t>
    </rPh>
    <rPh sb="2" eb="5">
      <t>カセツヒ</t>
    </rPh>
    <phoneticPr fontId="5"/>
  </si>
  <si>
    <r>
      <t>発注ファイルの共通仮設費が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</si>
  <si>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技術管理費</t>
    </r>
    <r>
      <rPr>
        <b/>
        <sz val="10"/>
        <rFont val="ＭＳ Ｐゴシック"/>
        <family val="3"/>
        <charset val="128"/>
      </rPr>
      <t>（積上げ分）</t>
    </r>
    <rPh sb="0" eb="2">
      <t>ギジュツ</t>
    </rPh>
    <rPh sb="2" eb="5">
      <t>カンリヒ</t>
    </rPh>
    <rPh sb="6" eb="8">
      <t>ツミア</t>
    </rPh>
    <rPh sb="9" eb="10">
      <t>ブン</t>
    </rPh>
    <phoneticPr fontId="5"/>
  </si>
  <si>
    <t>1：補正有り</t>
    <rPh sb="2" eb="4">
      <t>ホセイ</t>
    </rPh>
    <rPh sb="4" eb="5">
      <t>ア</t>
    </rPh>
    <phoneticPr fontId="4"/>
  </si>
  <si>
    <t>建設：都道府県</t>
    <rPh sb="0" eb="2">
      <t>ケンセツ</t>
    </rPh>
    <rPh sb="3" eb="7">
      <t>トドウフケン</t>
    </rPh>
    <phoneticPr fontId="5"/>
  </si>
  <si>
    <t xml:space="preserve">工事希望型競争入札 </t>
  </si>
  <si>
    <t>設計書コード</t>
    <rPh sb="0" eb="3">
      <t>セッケイショ</t>
    </rPh>
    <phoneticPr fontId="5"/>
  </si>
  <si>
    <r>
      <t>元請ファイルの消費税相当額が</t>
    </r>
    <r>
      <rPr>
        <b/>
        <sz val="11"/>
        <rFont val="ＭＳ Ｐゴシック"/>
        <family val="3"/>
        <charset val="128"/>
      </rPr>
      <t>未入力</t>
    </r>
    <rPh sb="7" eb="10">
      <t>ショウヒゼイ</t>
    </rPh>
    <rPh sb="10" eb="13">
      <t>ソウトウガク</t>
    </rPh>
    <phoneticPr fontId="5"/>
  </si>
  <si>
    <t>TEL</t>
    <phoneticPr fontId="4"/>
  </si>
  <si>
    <r>
      <t>1</t>
    </r>
    <r>
      <rPr>
        <sz val="11"/>
        <rFont val="ＭＳ Ｐゴシック"/>
        <family val="3"/>
        <charset val="128"/>
      </rPr>
      <t>.最終請負金額で入力し、一致させて下さい
2.金額は「千円」単位で入力して下さい</t>
    </r>
    <rPh sb="9" eb="11">
      <t>ニュウリョク</t>
    </rPh>
    <rPh sb="13" eb="15">
      <t>イッチ</t>
    </rPh>
    <rPh sb="18" eb="19">
      <t>クダ</t>
    </rPh>
    <rPh sb="24" eb="26">
      <t>キンガク</t>
    </rPh>
    <rPh sb="28" eb="30">
      <t>センエン</t>
    </rPh>
    <rPh sb="31" eb="33">
      <t>タンイ</t>
    </rPh>
    <rPh sb="34" eb="36">
      <t>ニュウリョク</t>
    </rPh>
    <rPh sb="38" eb="39">
      <t>クダ</t>
    </rPh>
    <phoneticPr fontId="5"/>
  </si>
  <si>
    <t>消費税相当額</t>
    <phoneticPr fontId="5"/>
  </si>
  <si>
    <r>
      <t>発注ファイル及び元請ファイルの消費税相当額が</t>
    </r>
    <r>
      <rPr>
        <b/>
        <sz val="11"/>
        <rFont val="ＭＳ Ｐゴシック"/>
        <family val="3"/>
        <charset val="128"/>
      </rPr>
      <t>未入力</t>
    </r>
    <rPh sb="15" eb="18">
      <t>ショウヒゼイ</t>
    </rPh>
    <rPh sb="18" eb="21">
      <t>ソウトウガク</t>
    </rPh>
    <phoneticPr fontId="5"/>
  </si>
  <si>
    <t>消費税相当額を入力して下さい</t>
    <phoneticPr fontId="5"/>
  </si>
  <si>
    <r>
      <t>発注ファイルの消費税相当額が</t>
    </r>
    <r>
      <rPr>
        <b/>
        <sz val="11"/>
        <rFont val="ＭＳ Ｐゴシック"/>
        <family val="3"/>
        <charset val="128"/>
      </rPr>
      <t>未入力</t>
    </r>
    <rPh sb="7" eb="10">
      <t>ショウヒゼイ</t>
    </rPh>
    <rPh sb="10" eb="13">
      <t>ソウトウガク</t>
    </rPh>
    <phoneticPr fontId="5"/>
  </si>
  <si>
    <t>要確認87</t>
    <phoneticPr fontId="5"/>
  </si>
  <si>
    <t>要確認88</t>
    <phoneticPr fontId="5"/>
  </si>
  <si>
    <t>4：地　方（一般交通等の影響を受けない地区）</t>
  </si>
  <si>
    <r>
      <t>元請ファイルの機械器具等損料が</t>
    </r>
    <r>
      <rPr>
        <b/>
        <sz val="11"/>
        <rFont val="ＭＳ Ｐゴシック"/>
        <family val="3"/>
        <charset val="128"/>
      </rPr>
      <t>「0」</t>
    </r>
    <rPh sb="7" eb="9">
      <t>キカイ</t>
    </rPh>
    <rPh sb="9" eb="11">
      <t>キグ</t>
    </rPh>
    <rPh sb="11" eb="12">
      <t>トウ</t>
    </rPh>
    <rPh sb="12" eb="14">
      <t>ソンリョウ</t>
    </rPh>
    <phoneticPr fontId="5"/>
  </si>
  <si>
    <t>金額単位：千円</t>
    <phoneticPr fontId="4"/>
  </si>
  <si>
    <t>アスファルト類</t>
    <rPh sb="6" eb="7">
      <t>ルイ</t>
    </rPh>
    <phoneticPr fontId="4"/>
  </si>
  <si>
    <r>
      <t>単品スライド適用工事のみ記入。</t>
    </r>
    <r>
      <rPr>
        <sz val="10"/>
        <rFont val="ＭＳ Ｐゴシック"/>
        <family val="3"/>
        <charset val="128"/>
      </rPr>
      <t xml:space="preserve">
注）消費税抜きで記入してください。
　　　　　　　　　　　　　　　　　　　　　　　　　　　　※金額は千円単位で入力してください。</t>
    </r>
    <rPh sb="0" eb="2">
      <t>タンピン</t>
    </rPh>
    <rPh sb="6" eb="8">
      <t>テキヨウ</t>
    </rPh>
    <rPh sb="8" eb="10">
      <t>コウジ</t>
    </rPh>
    <rPh sb="12" eb="14">
      <t>キニュウ</t>
    </rPh>
    <rPh sb="16" eb="17">
      <t>チュウ</t>
    </rPh>
    <rPh sb="18" eb="20">
      <t>ショウヒ</t>
    </rPh>
    <rPh sb="20" eb="21">
      <t>ゼイ</t>
    </rPh>
    <rPh sb="21" eb="22">
      <t>ヌ</t>
    </rPh>
    <rPh sb="24" eb="26">
      <t>キニュウ</t>
    </rPh>
    <phoneticPr fontId="5"/>
  </si>
  <si>
    <t>有り</t>
    <rPh sb="0" eb="1">
      <t>ア</t>
    </rPh>
    <phoneticPr fontId="4"/>
  </si>
  <si>
    <t>無し</t>
    <rPh sb="0" eb="1">
      <t>ナ</t>
    </rPh>
    <phoneticPr fontId="4"/>
  </si>
  <si>
    <t>総合評価　技術提案評価型Ｓ型（WTO以外）</t>
    <rPh sb="0" eb="2">
      <t>ソウゴウ</t>
    </rPh>
    <rPh sb="2" eb="4">
      <t>ヒョウカ</t>
    </rPh>
    <rPh sb="5" eb="7">
      <t>ギジュツ</t>
    </rPh>
    <rPh sb="7" eb="9">
      <t>テイアン</t>
    </rPh>
    <rPh sb="9" eb="12">
      <t>ヒョウカガタ</t>
    </rPh>
    <rPh sb="13" eb="14">
      <t>ガタ</t>
    </rPh>
    <rPh sb="18" eb="20">
      <t>イガイ</t>
    </rPh>
    <phoneticPr fontId="5"/>
  </si>
  <si>
    <t>総合評価　技術提案評価型Ｓ型（WTO）</t>
    <rPh sb="0" eb="2">
      <t>ソウゴウ</t>
    </rPh>
    <rPh sb="2" eb="4">
      <t>ヒョウカ</t>
    </rPh>
    <rPh sb="5" eb="7">
      <t>ギジュツ</t>
    </rPh>
    <rPh sb="7" eb="9">
      <t>テイアン</t>
    </rPh>
    <rPh sb="9" eb="12">
      <t>ヒョウカガタ</t>
    </rPh>
    <rPh sb="13" eb="14">
      <t>ガタ</t>
    </rPh>
    <phoneticPr fontId="5"/>
  </si>
  <si>
    <t>総合評価　技術提案評価型Ａ型</t>
    <rPh sb="0" eb="2">
      <t>ソウゴウ</t>
    </rPh>
    <rPh sb="2" eb="4">
      <t>ヒョウカ</t>
    </rPh>
    <rPh sb="5" eb="7">
      <t>ギジュツ</t>
    </rPh>
    <rPh sb="7" eb="9">
      <t>テイアン</t>
    </rPh>
    <rPh sb="9" eb="12">
      <t>ヒョウカガタ</t>
    </rPh>
    <rPh sb="13" eb="14">
      <t>ガタ</t>
    </rPh>
    <phoneticPr fontId="5"/>
  </si>
  <si>
    <t>総合評価　施工能力評価型Ⅱ型</t>
    <rPh sb="0" eb="2">
      <t>ソウゴウ</t>
    </rPh>
    <rPh sb="2" eb="4">
      <t>ヒョウカ</t>
    </rPh>
    <rPh sb="5" eb="7">
      <t>セコウ</t>
    </rPh>
    <rPh sb="7" eb="9">
      <t>ノウリョク</t>
    </rPh>
    <rPh sb="9" eb="12">
      <t>ヒョウカガタ</t>
    </rPh>
    <rPh sb="13" eb="14">
      <t>ガタ</t>
    </rPh>
    <phoneticPr fontId="5"/>
  </si>
  <si>
    <t>総合評価　施工能力評価型Ⅰ型</t>
    <rPh sb="0" eb="2">
      <t>ソウゴウ</t>
    </rPh>
    <rPh sb="2" eb="4">
      <t>ヒョウカ</t>
    </rPh>
    <rPh sb="5" eb="7">
      <t>セコウ</t>
    </rPh>
    <rPh sb="7" eb="9">
      <t>ノウリョク</t>
    </rPh>
    <rPh sb="9" eb="12">
      <t>ヒョウカガタ</t>
    </rPh>
    <rPh sb="13" eb="14">
      <t>ガタ</t>
    </rPh>
    <phoneticPr fontId="5"/>
  </si>
  <si>
    <t>一般競争入札の評価方法</t>
    <rPh sb="0" eb="2">
      <t>イッパン</t>
    </rPh>
    <rPh sb="2" eb="4">
      <t>キョウソウ</t>
    </rPh>
    <rPh sb="4" eb="6">
      <t>ニュウサツ</t>
    </rPh>
    <rPh sb="7" eb="9">
      <t>ヒョウカ</t>
    </rPh>
    <rPh sb="9" eb="11">
      <t>ホウホウ</t>
    </rPh>
    <phoneticPr fontId="5"/>
  </si>
  <si>
    <t>具体的な品目を記入</t>
    <phoneticPr fontId="4"/>
  </si>
  <si>
    <t>単品</t>
    <rPh sb="0" eb="2">
      <t>タンピン</t>
    </rPh>
    <phoneticPr fontId="5"/>
  </si>
  <si>
    <t>その他（価格評価等）</t>
    <rPh sb="2" eb="3">
      <t>タ</t>
    </rPh>
    <rPh sb="4" eb="6">
      <t>カカク</t>
    </rPh>
    <rPh sb="6" eb="8">
      <t>ヒョウカ</t>
    </rPh>
    <rPh sb="8" eb="9">
      <t>トウ</t>
    </rPh>
    <phoneticPr fontId="5"/>
  </si>
  <si>
    <t>全体・インフレ</t>
    <rPh sb="0" eb="2">
      <t>ゼンタイ</t>
    </rPh>
    <phoneticPr fontId="5"/>
  </si>
  <si>
    <t>スライドの実施回数</t>
    <rPh sb="5" eb="7">
      <t>ジッシ</t>
    </rPh>
    <rPh sb="7" eb="9">
      <t>カイスウ</t>
    </rPh>
    <phoneticPr fontId="5"/>
  </si>
  <si>
    <t>※「電気通信設備工事」の場合に入力してください</t>
    <rPh sb="15" eb="17">
      <t>ニュウリョク</t>
    </rPh>
    <phoneticPr fontId="5"/>
  </si>
  <si>
    <t>風</t>
    <rPh sb="0" eb="1">
      <t>カゼ</t>
    </rPh>
    <phoneticPr fontId="4"/>
  </si>
  <si>
    <t>波浪</t>
    <rPh sb="0" eb="2">
      <t>ハロウ</t>
    </rPh>
    <phoneticPr fontId="4"/>
  </si>
  <si>
    <t>その他</t>
    <rPh sb="0" eb="3">
      <t>ソノタ</t>
    </rPh>
    <phoneticPr fontId="4"/>
  </si>
  <si>
    <t>該当するものを選択して下さい。</t>
    <rPh sb="7" eb="9">
      <t>センタク</t>
    </rPh>
    <phoneticPr fontId="4"/>
  </si>
  <si>
    <t>下記より理由を選択しﾘｽﾄで入力</t>
    <phoneticPr fontId="4"/>
  </si>
  <si>
    <t>（複数回答可）</t>
    <rPh sb="1" eb="3">
      <t>フクスウ</t>
    </rPh>
    <rPh sb="3" eb="5">
      <t>カイトウ</t>
    </rPh>
    <rPh sb="5" eb="6">
      <t>カ</t>
    </rPh>
    <phoneticPr fontId="4"/>
  </si>
  <si>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（元請ファイル実績額の過小）</t>
    </r>
    <rPh sb="0" eb="3">
      <t>ジュハッチュウ</t>
    </rPh>
    <rPh sb="4" eb="6">
      <t>キキ</t>
    </rPh>
    <rPh sb="6" eb="7">
      <t>カン</t>
    </rPh>
    <rPh sb="7" eb="8">
      <t>セツ</t>
    </rPh>
    <rPh sb="8" eb="9">
      <t>ヒ</t>
    </rPh>
    <rPh sb="10" eb="12">
      <t>キンガク</t>
    </rPh>
    <rPh sb="12" eb="13">
      <t>サ</t>
    </rPh>
    <rPh sb="14" eb="15">
      <t>オオ</t>
    </rPh>
    <rPh sb="19" eb="21">
      <t>モトウケ</t>
    </rPh>
    <rPh sb="25" eb="27">
      <t>ジッセキ</t>
    </rPh>
    <rPh sb="27" eb="28">
      <t>ガク</t>
    </rPh>
    <rPh sb="29" eb="31">
      <t>カショウ</t>
    </rPh>
    <phoneticPr fontId="5"/>
  </si>
  <si>
    <t>１．降雨　２．降雪　３．風　４．波浪　５．その他</t>
    <rPh sb="2" eb="4">
      <t>コウウ</t>
    </rPh>
    <rPh sb="7" eb="9">
      <t>コウセツ</t>
    </rPh>
    <rPh sb="12" eb="13">
      <t>カゼ</t>
    </rPh>
    <rPh sb="16" eb="18">
      <t>ハロウ</t>
    </rPh>
    <rPh sb="21" eb="24">
      <t>ソノタ</t>
    </rPh>
    <phoneticPr fontId="4"/>
  </si>
  <si>
    <t>：</t>
    <phoneticPr fontId="4"/>
  </si>
  <si>
    <t>土曜日曜休の設定休日数</t>
    <rPh sb="6" eb="8">
      <t>セッテイ</t>
    </rPh>
    <rPh sb="8" eb="10">
      <t>キュウジツ</t>
    </rPh>
    <rPh sb="10" eb="11">
      <t>スウ</t>
    </rPh>
    <phoneticPr fontId="4"/>
  </si>
  <si>
    <t>（４週</t>
    <phoneticPr fontId="4"/>
  </si>
  <si>
    <t>休で工期設定）</t>
    <phoneticPr fontId="4"/>
  </si>
  <si>
    <t>祝日休の設定休日数</t>
    <phoneticPr fontId="4"/>
  </si>
  <si>
    <t>（この内日曜休・土曜休の日数</t>
    <phoneticPr fontId="4"/>
  </si>
  <si>
    <t>年末年始の設定休日数</t>
    <phoneticPr fontId="4"/>
  </si>
  <si>
    <t>ＰＣスノーシェルター（ｽﾉｰｼｪﾙﾀｰ部材の製品費）</t>
    <phoneticPr fontId="5"/>
  </si>
  <si>
    <t>ジョイント（鋼橋積算の製作品）</t>
    <phoneticPr fontId="5"/>
  </si>
  <si>
    <t>モニュメント（工場で製作し、現地で設置した場合）</t>
    <phoneticPr fontId="5"/>
  </si>
  <si>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（元請ファイル実績額の過大）</t>
    </r>
    <rPh sb="0" eb="3">
      <t>ジュハッチュウ</t>
    </rPh>
    <rPh sb="4" eb="6">
      <t>キキ</t>
    </rPh>
    <rPh sb="6" eb="8">
      <t>カンセツ</t>
    </rPh>
    <rPh sb="8" eb="9">
      <t>ヒ</t>
    </rPh>
    <rPh sb="10" eb="12">
      <t>キンガク</t>
    </rPh>
    <rPh sb="12" eb="13">
      <t>サ</t>
    </rPh>
    <rPh sb="14" eb="15">
      <t>オオ</t>
    </rPh>
    <rPh sb="19" eb="21">
      <t>モトウケ</t>
    </rPh>
    <rPh sb="25" eb="27">
      <t>ジッセキ</t>
    </rPh>
    <rPh sb="27" eb="28">
      <t>ガク</t>
    </rPh>
    <rPh sb="29" eb="31">
      <t>カダイ</t>
    </rPh>
    <phoneticPr fontId="5"/>
  </si>
  <si>
    <t>準備費に関する調査</t>
    <phoneticPr fontId="5"/>
  </si>
  <si>
    <t>行った</t>
    <phoneticPr fontId="5"/>
  </si>
  <si>
    <t>行わない</t>
    <phoneticPr fontId="5"/>
  </si>
  <si>
    <t>　</t>
    <phoneticPr fontId="5"/>
  </si>
  <si>
    <t>Ⅱ 補償の方法</t>
    <phoneticPr fontId="5"/>
  </si>
  <si>
    <t>不明</t>
    <rPh sb="0" eb="2">
      <t>フメイ</t>
    </rPh>
    <phoneticPr fontId="5"/>
  </si>
  <si>
    <r>
      <t>以下の補償の方法から該当するものに"○</t>
    </r>
    <r>
      <rPr>
        <sz val="11"/>
        <rFont val="ＭＳ Ｐゴシック"/>
        <family val="3"/>
        <charset val="128"/>
      </rPr>
      <t>"をつけてください。</t>
    </r>
    <rPh sb="0" eb="2">
      <t>イカ</t>
    </rPh>
    <rPh sb="10" eb="12">
      <t>ガイトウ</t>
    </rPh>
    <phoneticPr fontId="5"/>
  </si>
  <si>
    <t>(５)</t>
    <phoneticPr fontId="5"/>
  </si>
  <si>
    <t>⑥工事価格</t>
    <rPh sb="1" eb="3">
      <t>コウジ</t>
    </rPh>
    <rPh sb="3" eb="5">
      <t>カカク</t>
    </rPh>
    <phoneticPr fontId="5"/>
  </si>
  <si>
    <t>補償費</t>
  </si>
  <si>
    <t>工事価格</t>
  </si>
  <si>
    <t>①</t>
  </si>
  <si>
    <t>②</t>
  </si>
  <si>
    <r>
      <t>元請ファイルの共通仮設費が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</si>
  <si>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発注ファイルの共通仮設費が</t>
    </r>
    <r>
      <rPr>
        <b/>
        <sz val="11"/>
        <rFont val="ＭＳ Ｐゴシック"/>
        <family val="3"/>
        <charset val="128"/>
      </rPr>
      <t>「0」</t>
    </r>
    <rPh sb="7" eb="12">
      <t>キョウツウカセツヒ</t>
    </rPh>
    <phoneticPr fontId="5"/>
  </si>
  <si>
    <t>地域特性</t>
    <rPh sb="0" eb="2">
      <t>チイキ</t>
    </rPh>
    <rPh sb="2" eb="4">
      <t>トクセイ</t>
    </rPh>
    <phoneticPr fontId="5"/>
  </si>
  <si>
    <t>工期についての調査票</t>
    <rPh sb="0" eb="2">
      <t>コウキ</t>
    </rPh>
    <rPh sb="7" eb="10">
      <t>チョウサヒョウ</t>
    </rPh>
    <phoneticPr fontId="4"/>
  </si>
  <si>
    <t>降雨</t>
    <rPh sb="0" eb="2">
      <t>コウウ</t>
    </rPh>
    <phoneticPr fontId="4"/>
  </si>
  <si>
    <t>降雪</t>
    <rPh sb="0" eb="2">
      <t>コウセツ</t>
    </rPh>
    <phoneticPr fontId="4"/>
  </si>
  <si>
    <t>①</t>
    <phoneticPr fontId="4"/>
  </si>
  <si>
    <t>1.無償貸付機械等評価額を入力して下さい
2.費用が発生しない場合は０を入力して下さい</t>
    <rPh sb="26" eb="28">
      <t>ハッセイ</t>
    </rPh>
    <phoneticPr fontId="5"/>
  </si>
  <si>
    <t>※1） No.1の施工地先名欄には拠点に最も近い地先名を入力してください。地先が複数にまたがる場合は代表地先を入力してください。</t>
    <rPh sb="20" eb="21">
      <t>モット</t>
    </rPh>
    <rPh sb="22" eb="23">
      <t>チカ</t>
    </rPh>
    <rPh sb="37" eb="38">
      <t>チ</t>
    </rPh>
    <rPh sb="38" eb="39">
      <t>サキ</t>
    </rPh>
    <rPh sb="40" eb="42">
      <t>フクスウ</t>
    </rPh>
    <rPh sb="47" eb="49">
      <t>バアイ</t>
    </rPh>
    <rPh sb="50" eb="52">
      <t>ダイヒョウ</t>
    </rPh>
    <rPh sb="52" eb="54">
      <t>チサキ</t>
    </rPh>
    <rPh sb="55" eb="57">
      <t>ニュウリョク</t>
    </rPh>
    <phoneticPr fontId="5"/>
  </si>
  <si>
    <t xml:space="preserve">   　　拠点とは、メイン施工箇所です。</t>
    <rPh sb="13" eb="15">
      <t>セコウ</t>
    </rPh>
    <phoneticPr fontId="5"/>
  </si>
  <si>
    <t>※2） 工種は、各施工箇所の主工種を入力してください。</t>
    <rPh sb="4" eb="6">
      <t>コウシュ</t>
    </rPh>
    <rPh sb="8" eb="9">
      <t>カク</t>
    </rPh>
    <rPh sb="9" eb="11">
      <t>セコウ</t>
    </rPh>
    <rPh sb="11" eb="13">
      <t>カショ</t>
    </rPh>
    <rPh sb="14" eb="15">
      <t>シュ</t>
    </rPh>
    <rPh sb="15" eb="17">
      <t>コウシュ</t>
    </rPh>
    <phoneticPr fontId="5"/>
  </si>
  <si>
    <t>※3） 施工地域特性を選択してください。施工箇所が１箇所であっても、地域特性が異なる場合は行を分けて入力してください。（「図1 施工箇所分散の例」を参照）</t>
    <rPh sb="4" eb="6">
      <t>セコウ</t>
    </rPh>
    <rPh sb="6" eb="8">
      <t>チイキ</t>
    </rPh>
    <rPh sb="8" eb="10">
      <t>トクセイ</t>
    </rPh>
    <rPh sb="11" eb="13">
      <t>センタク</t>
    </rPh>
    <rPh sb="20" eb="22">
      <t>セコウ</t>
    </rPh>
    <rPh sb="22" eb="24">
      <t>カショ</t>
    </rPh>
    <rPh sb="26" eb="28">
      <t>カショ</t>
    </rPh>
    <rPh sb="34" eb="36">
      <t>チイキ</t>
    </rPh>
    <rPh sb="36" eb="38">
      <t>トクセイ</t>
    </rPh>
    <rPh sb="39" eb="40">
      <t>コト</t>
    </rPh>
    <rPh sb="42" eb="44">
      <t>バアイ</t>
    </rPh>
    <rPh sb="45" eb="46">
      <t>ギョウ</t>
    </rPh>
    <rPh sb="47" eb="48">
      <t>ワ</t>
    </rPh>
    <rPh sb="50" eb="52">
      <t>ニュウリョク</t>
    </rPh>
    <rPh sb="61" eb="62">
      <t>ズ</t>
    </rPh>
    <rPh sb="64" eb="66">
      <t>セコウ</t>
    </rPh>
    <rPh sb="66" eb="68">
      <t>カショ</t>
    </rPh>
    <rPh sb="68" eb="70">
      <t>ブンサン</t>
    </rPh>
    <rPh sb="71" eb="72">
      <t>レイ</t>
    </rPh>
    <rPh sb="74" eb="76">
      <t>サンショウ</t>
    </rPh>
    <phoneticPr fontId="5"/>
  </si>
  <si>
    <t>№</t>
    <phoneticPr fontId="5"/>
  </si>
  <si>
    <r>
      <t>施工地先名</t>
    </r>
    <r>
      <rPr>
        <b/>
        <sz val="10"/>
        <color indexed="12"/>
        <rFont val="ＭＳ Ｐゴシック"/>
        <family val="3"/>
        <charset val="128"/>
      </rPr>
      <t>（※1）</t>
    </r>
    <rPh sb="0" eb="2">
      <t>セコウ</t>
    </rPh>
    <rPh sb="2" eb="3">
      <t>チ</t>
    </rPh>
    <rPh sb="3" eb="4">
      <t>サキ</t>
    </rPh>
    <rPh sb="4" eb="5">
      <t>メイ</t>
    </rPh>
    <phoneticPr fontId="5"/>
  </si>
  <si>
    <t>拠点からの
距離
(km)</t>
    <rPh sb="0" eb="2">
      <t>キョテン</t>
    </rPh>
    <rPh sb="6" eb="8">
      <t>キョリ</t>
    </rPh>
    <phoneticPr fontId="5"/>
  </si>
  <si>
    <r>
      <t>工　　種</t>
    </r>
    <r>
      <rPr>
        <b/>
        <sz val="10"/>
        <color indexed="12"/>
        <rFont val="ＭＳ Ｐゴシック"/>
        <family val="3"/>
        <charset val="128"/>
      </rPr>
      <t>（※2）</t>
    </r>
    <rPh sb="0" eb="1">
      <t>コウ</t>
    </rPh>
    <rPh sb="3" eb="4">
      <t>タネ</t>
    </rPh>
    <phoneticPr fontId="5"/>
  </si>
  <si>
    <t>工事費
割合
（％）</t>
    <rPh sb="0" eb="3">
      <t>コウジヒ</t>
    </rPh>
    <rPh sb="4" eb="6">
      <t>ワリアイ</t>
    </rPh>
    <phoneticPr fontId="5"/>
  </si>
  <si>
    <r>
      <t>施工地域特性</t>
    </r>
    <r>
      <rPr>
        <b/>
        <sz val="10"/>
        <color indexed="12"/>
        <rFont val="ＭＳ Ｐゴシック"/>
        <family val="3"/>
        <charset val="128"/>
      </rPr>
      <t>（※3）</t>
    </r>
    <rPh sb="0" eb="2">
      <t>セコウ</t>
    </rPh>
    <rPh sb="2" eb="4">
      <t>チイキ</t>
    </rPh>
    <rPh sb="4" eb="6">
      <t>トクセイ</t>
    </rPh>
    <phoneticPr fontId="5"/>
  </si>
  <si>
    <t>昼夜</t>
    <rPh sb="0" eb="2">
      <t>チュウヤ</t>
    </rPh>
    <phoneticPr fontId="5"/>
  </si>
  <si>
    <t>資機材の保管</t>
    <rPh sb="0" eb="3">
      <t>シキザイ</t>
    </rPh>
    <rPh sb="4" eb="6">
      <t>ホカン</t>
    </rPh>
    <phoneticPr fontId="5"/>
  </si>
  <si>
    <t>デザインされた特注品のかわりに同規格の既製品を使用した場合の材料費</t>
    <phoneticPr fontId="5"/>
  </si>
  <si>
    <t>内訳合計の金額</t>
    <rPh sb="0" eb="2">
      <t>ウチワケ</t>
    </rPh>
    <rPh sb="2" eb="4">
      <t>ゴウケイ</t>
    </rPh>
    <rPh sb="5" eb="7">
      <t>キンガク</t>
    </rPh>
    <phoneticPr fontId="5"/>
  </si>
  <si>
    <t>労働者送迎費</t>
    <rPh sb="0" eb="2">
      <t>ロウドウ</t>
    </rPh>
    <phoneticPr fontId="5"/>
  </si>
  <si>
    <t>仮設備関係</t>
    <rPh sb="0" eb="1">
      <t>カリ</t>
    </rPh>
    <rPh sb="1" eb="3">
      <t>セツビ</t>
    </rPh>
    <rPh sb="3" eb="5">
      <t>カンケイ</t>
    </rPh>
    <phoneticPr fontId="5"/>
  </si>
  <si>
    <t>営繕関係</t>
    <rPh sb="0" eb="2">
      <t>エイゼン</t>
    </rPh>
    <rPh sb="2" eb="4">
      <t>カンケイ</t>
    </rPh>
    <phoneticPr fontId="5"/>
  </si>
  <si>
    <t>安全関係</t>
    <rPh sb="0" eb="2">
      <t>アンゼン</t>
    </rPh>
    <rPh sb="2" eb="4">
      <t>カンケイ</t>
    </rPh>
    <phoneticPr fontId="5"/>
  </si>
  <si>
    <r>
      <t>発注ファイルと元請ファイルの消費税相当額が</t>
    </r>
    <r>
      <rPr>
        <b/>
        <sz val="10"/>
        <rFont val="ＭＳ Ｐゴシック"/>
        <family val="3"/>
        <charset val="128"/>
      </rPr>
      <t>不一致</t>
    </r>
    <rPh sb="7" eb="9">
      <t>モトウケ</t>
    </rPh>
    <rPh sb="21" eb="24">
      <t>フイッチ</t>
    </rPh>
    <phoneticPr fontId="5"/>
  </si>
  <si>
    <r>
      <t>1</t>
    </r>
    <r>
      <rPr>
        <sz val="11"/>
        <rFont val="ＭＳ Ｐゴシック"/>
        <family val="3"/>
        <charset val="128"/>
      </rPr>
      <t>.消費税相当額を一致させて下さい
2.金額は「千円」単位で入力して下さい</t>
    </r>
    <rPh sb="2" eb="5">
      <t>ショウヒゼイ</t>
    </rPh>
    <rPh sb="5" eb="8">
      <t>ソウトウガク</t>
    </rPh>
    <rPh sb="9" eb="11">
      <t>イッチ</t>
    </rPh>
    <rPh sb="14" eb="15">
      <t>クダ</t>
    </rPh>
    <rPh sb="20" eb="22">
      <t>キンガク</t>
    </rPh>
    <rPh sb="24" eb="26">
      <t>センエン</t>
    </rPh>
    <rPh sb="27" eb="29">
      <t>タンイ</t>
    </rPh>
    <rPh sb="30" eb="32">
      <t>ニュウリョク</t>
    </rPh>
    <rPh sb="34" eb="35">
      <t>クダ</t>
    </rPh>
    <phoneticPr fontId="5"/>
  </si>
  <si>
    <t>（複数回答可）　　　　　　　　　　　　　　　　　　　　      　　　　　理由２：</t>
    <phoneticPr fontId="5"/>
  </si>
  <si>
    <r>
      <t xml:space="preserve">５．概算概略発注  </t>
    </r>
    <r>
      <rPr>
        <sz val="8"/>
        <rFont val="ＭＳ Ｐゴシック"/>
        <family val="3"/>
        <charset val="128"/>
      </rPr>
      <t xml:space="preserve"> </t>
    </r>
    <r>
      <rPr>
        <sz val="10"/>
        <rFont val="ＭＳ Ｐゴシック"/>
        <family val="3"/>
        <charset val="128"/>
      </rPr>
      <t>６．その他　　　　　　 　　　　　　　　　　　　理由５：</t>
    </r>
    <rPh sb="2" eb="4">
      <t>ガイサン</t>
    </rPh>
    <rPh sb="4" eb="6">
      <t>ガイリャク</t>
    </rPh>
    <rPh sb="6" eb="8">
      <t>ハッチュウ</t>
    </rPh>
    <phoneticPr fontId="5"/>
  </si>
  <si>
    <t>一般管理費等</t>
    <phoneticPr fontId="5"/>
  </si>
  <si>
    <r>
      <t>発注ファイル及び元請ファイルの一般管理費等が</t>
    </r>
    <r>
      <rPr>
        <b/>
        <sz val="11"/>
        <rFont val="ＭＳ Ｐゴシック"/>
        <family val="3"/>
        <charset val="128"/>
      </rPr>
      <t>未入力</t>
    </r>
    <r>
      <rPr>
        <sz val="11"/>
        <rFont val="ＭＳ Ｐゴシック"/>
        <family val="3"/>
        <charset val="128"/>
      </rPr>
      <t/>
    </r>
    <rPh sb="15" eb="17">
      <t>イッパン</t>
    </rPh>
    <rPh sb="17" eb="20">
      <t>カンリヒ</t>
    </rPh>
    <rPh sb="20" eb="21">
      <t>ナド</t>
    </rPh>
    <phoneticPr fontId="5"/>
  </si>
  <si>
    <t>一般管理費等を入力して下さい</t>
    <rPh sb="0" eb="2">
      <t>イッパン</t>
    </rPh>
    <rPh sb="2" eb="5">
      <t>カンリヒ</t>
    </rPh>
    <rPh sb="5" eb="6">
      <t>トウ</t>
    </rPh>
    <phoneticPr fontId="5"/>
  </si>
  <si>
    <r>
      <t>発注ファイルの一般管理費等が</t>
    </r>
    <r>
      <rPr>
        <b/>
        <sz val="11"/>
        <rFont val="ＭＳ Ｐゴシック"/>
        <family val="3"/>
        <charset val="128"/>
      </rPr>
      <t>未入力</t>
    </r>
    <r>
      <rPr>
        <sz val="11"/>
        <rFont val="ＭＳ Ｐゴシック"/>
        <family val="3"/>
        <charset val="128"/>
      </rPr>
      <t/>
    </r>
    <rPh sb="7" eb="9">
      <t>イッパン</t>
    </rPh>
    <rPh sb="9" eb="12">
      <t>カンリヒ</t>
    </rPh>
    <rPh sb="12" eb="13">
      <t>ナド</t>
    </rPh>
    <phoneticPr fontId="5"/>
  </si>
  <si>
    <r>
      <t>発注ファイルの一般管理費等が</t>
    </r>
    <r>
      <rPr>
        <b/>
        <sz val="11"/>
        <rFont val="ＭＳ Ｐゴシック"/>
        <family val="3"/>
        <charset val="128"/>
      </rPr>
      <t>「0」</t>
    </r>
    <rPh sb="7" eb="9">
      <t>イッパン</t>
    </rPh>
    <rPh sb="9" eb="12">
      <t>カンリヒ</t>
    </rPh>
    <rPh sb="12" eb="13">
      <t>ナド</t>
    </rPh>
    <phoneticPr fontId="5"/>
  </si>
  <si>
    <t>工事中止命令があった。</t>
    <phoneticPr fontId="5"/>
  </si>
  <si>
    <t>Ⅰ</t>
    <phoneticPr fontId="4"/>
  </si>
  <si>
    <t>Ⅱ</t>
    <phoneticPr fontId="5"/>
  </si>
  <si>
    <t>一般事項</t>
    <rPh sb="0" eb="2">
      <t>イッパン</t>
    </rPh>
    <rPh sb="2" eb="4">
      <t>ジコウ</t>
    </rPh>
    <phoneticPr fontId="5"/>
  </si>
  <si>
    <t>施工環境調査票</t>
    <phoneticPr fontId="5"/>
  </si>
  <si>
    <t>工事情報</t>
    <rPh sb="0" eb="2">
      <t>コウジ</t>
    </rPh>
    <rPh sb="2" eb="4">
      <t>ジョウホウ</t>
    </rPh>
    <phoneticPr fontId="5"/>
  </si>
  <si>
    <t>工事費</t>
    <rPh sb="0" eb="3">
      <t>コウジヒ</t>
    </rPh>
    <phoneticPr fontId="5"/>
  </si>
  <si>
    <t>工事費内訳</t>
    <phoneticPr fontId="5"/>
  </si>
  <si>
    <t>費　　目</t>
    <rPh sb="0" eb="4">
      <t>ヒモク</t>
    </rPh>
    <phoneticPr fontId="5"/>
  </si>
  <si>
    <t>積　　算</t>
    <rPh sb="0" eb="4">
      <t>セキサン</t>
    </rPh>
    <phoneticPr fontId="5"/>
  </si>
  <si>
    <t>直接工事費</t>
    <phoneticPr fontId="5"/>
  </si>
  <si>
    <t>消費税相当額</t>
    <rPh sb="0" eb="3">
      <t>ショウヒゼイ</t>
    </rPh>
    <rPh sb="3" eb="5">
      <t>ソウトウ</t>
    </rPh>
    <rPh sb="5" eb="6">
      <t>ガク</t>
    </rPh>
    <phoneticPr fontId="5"/>
  </si>
  <si>
    <t>うち消費税</t>
    <rPh sb="2" eb="5">
      <t>ショウヒゼイ</t>
    </rPh>
    <phoneticPr fontId="5"/>
  </si>
  <si>
    <t>間接工事費等諸経費動向調査</t>
    <phoneticPr fontId="4"/>
  </si>
  <si>
    <t>チェック回数</t>
    <rPh sb="4" eb="6">
      <t>カイスウ</t>
    </rPh>
    <phoneticPr fontId="5"/>
  </si>
  <si>
    <t>間接工事費実績変更方式の有無</t>
    <rPh sb="12" eb="14">
      <t>ウム</t>
    </rPh>
    <phoneticPr fontId="5"/>
  </si>
  <si>
    <t>間接工事費実績変更項目数</t>
    <rPh sb="0" eb="2">
      <t>カンセツ</t>
    </rPh>
    <rPh sb="2" eb="5">
      <t>コウジヒ</t>
    </rPh>
    <rPh sb="5" eb="7">
      <t>ジッセキ</t>
    </rPh>
    <rPh sb="7" eb="9">
      <t>ヘンコウ</t>
    </rPh>
    <rPh sb="9" eb="11">
      <t>コウモク</t>
    </rPh>
    <rPh sb="11" eb="12">
      <t>カズ</t>
    </rPh>
    <phoneticPr fontId="5"/>
  </si>
  <si>
    <r>
      <t>元請ファイルの一般管理費等が</t>
    </r>
    <r>
      <rPr>
        <b/>
        <sz val="11"/>
        <rFont val="ＭＳ Ｐゴシック"/>
        <family val="3"/>
        <charset val="128"/>
      </rPr>
      <t>未入力</t>
    </r>
    <r>
      <rPr>
        <sz val="11"/>
        <rFont val="ＭＳ Ｐゴシック"/>
        <family val="3"/>
        <charset val="128"/>
      </rPr>
      <t/>
    </r>
    <rPh sb="0" eb="2">
      <t>モトウ</t>
    </rPh>
    <rPh sb="7" eb="9">
      <t>イッパン</t>
    </rPh>
    <rPh sb="9" eb="12">
      <t>カンリヒ</t>
    </rPh>
    <rPh sb="12" eb="13">
      <t>ナド</t>
    </rPh>
    <phoneticPr fontId="5"/>
  </si>
  <si>
    <t>067：熊本市</t>
    <rPh sb="4" eb="6">
      <t>クマモト</t>
    </rPh>
    <rPh sb="6" eb="7">
      <t>シ</t>
    </rPh>
    <phoneticPr fontId="5"/>
  </si>
  <si>
    <t>課名</t>
    <rPh sb="0" eb="1">
      <t>カ</t>
    </rPh>
    <rPh sb="1" eb="2">
      <t>メイ</t>
    </rPh>
    <phoneticPr fontId="5"/>
  </si>
  <si>
    <t>京都府</t>
    <rPh sb="0" eb="3">
      <t>キョウトフ</t>
    </rPh>
    <phoneticPr fontId="5"/>
  </si>
  <si>
    <t>大阪府</t>
    <rPh sb="0" eb="3">
      <t>オオサカフ</t>
    </rPh>
    <phoneticPr fontId="5"/>
  </si>
  <si>
    <t>兵庫県</t>
    <rPh sb="0" eb="3">
      <t>ヒョウゴケン</t>
    </rPh>
    <phoneticPr fontId="5"/>
  </si>
  <si>
    <t>福岡県</t>
    <rPh sb="0" eb="2">
      <t>フクオカ</t>
    </rPh>
    <rPh sb="2" eb="3">
      <t>ケン</t>
    </rPh>
    <phoneticPr fontId="5"/>
  </si>
  <si>
    <t>広島県</t>
    <rPh sb="0" eb="3">
      <t>ヒロシマケン</t>
    </rPh>
    <phoneticPr fontId="5"/>
  </si>
  <si>
    <t>宮城県</t>
    <rPh sb="0" eb="3">
      <t>ミヤギケン</t>
    </rPh>
    <phoneticPr fontId="5"/>
  </si>
  <si>
    <t>　(１)材料費</t>
    <phoneticPr fontId="5"/>
  </si>
  <si>
    <t>　(３)労務費</t>
    <phoneticPr fontId="5"/>
  </si>
  <si>
    <t>４)</t>
    <phoneticPr fontId="5"/>
  </si>
  <si>
    <t>　　２）共通仮設費（率分）</t>
    <rPh sb="4" eb="6">
      <t>キョウツウ</t>
    </rPh>
    <rPh sb="6" eb="9">
      <t>カセツヒ</t>
    </rPh>
    <rPh sb="10" eb="11">
      <t>リツ</t>
    </rPh>
    <rPh sb="11" eb="12">
      <t>ブン</t>
    </rPh>
    <phoneticPr fontId="5"/>
  </si>
  <si>
    <t>A 準備費</t>
    <rPh sb="2" eb="5">
      <t>ジュンビヒ</t>
    </rPh>
    <phoneticPr fontId="5"/>
  </si>
  <si>
    <t>エラーの件数</t>
    <rPh sb="4" eb="6">
      <t>ケンスウ</t>
    </rPh>
    <phoneticPr fontId="5"/>
  </si>
  <si>
    <t>契約日から着手指定日まで30日以上あった。</t>
    <phoneticPr fontId="5"/>
  </si>
  <si>
    <t>YES</t>
  </si>
  <si>
    <t>落札率（元請工事価格/発注工事価格）が低い
（落札率が90％未満）</t>
    <rPh sb="0" eb="2">
      <t>ラクサツ</t>
    </rPh>
    <rPh sb="2" eb="3">
      <t>リツ</t>
    </rPh>
    <rPh sb="19" eb="20">
      <t>ヒク</t>
    </rPh>
    <rPh sb="30" eb="32">
      <t>ミマン</t>
    </rPh>
    <phoneticPr fontId="5"/>
  </si>
  <si>
    <t>品目</t>
    <rPh sb="0" eb="2">
      <t>ヒンモク</t>
    </rPh>
    <phoneticPr fontId="5"/>
  </si>
  <si>
    <t>規格</t>
    <rPh sb="0" eb="2">
      <t>キカク</t>
    </rPh>
    <phoneticPr fontId="5"/>
  </si>
  <si>
    <t>数量</t>
    <rPh sb="0" eb="2">
      <t>スウリョウ</t>
    </rPh>
    <phoneticPr fontId="5"/>
  </si>
  <si>
    <t>A-12　品質証明に係る費用（品質証明費）</t>
    <rPh sb="5" eb="7">
      <t>ヒンシツ</t>
    </rPh>
    <rPh sb="7" eb="9">
      <t>ショウメイ</t>
    </rPh>
    <rPh sb="10" eb="11">
      <t>カカ</t>
    </rPh>
    <rPh sb="12" eb="14">
      <t>ヒヨウ</t>
    </rPh>
    <rPh sb="15" eb="17">
      <t>ヒンシツ</t>
    </rPh>
    <rPh sb="17" eb="19">
      <t>ショウメイ</t>
    </rPh>
    <rPh sb="19" eb="20">
      <t>ヒ</t>
    </rPh>
    <phoneticPr fontId="5"/>
  </si>
  <si>
    <t>B-1　品質管理基準に記載されていない項目（上記A以外）に要した費用</t>
    <rPh sb="4" eb="6">
      <t>ヒンシツ</t>
    </rPh>
    <rPh sb="6" eb="8">
      <t>カンリ</t>
    </rPh>
    <rPh sb="8" eb="10">
      <t>キジュン</t>
    </rPh>
    <rPh sb="11" eb="13">
      <t>キサイ</t>
    </rPh>
    <rPh sb="19" eb="21">
      <t>コウモク</t>
    </rPh>
    <rPh sb="22" eb="24">
      <t>ジョウキ</t>
    </rPh>
    <rPh sb="25" eb="27">
      <t>イガイ</t>
    </rPh>
    <rPh sb="29" eb="30">
      <t>ヨウ</t>
    </rPh>
    <rPh sb="32" eb="34">
      <t>ヒヨウ</t>
    </rPh>
    <phoneticPr fontId="5"/>
  </si>
  <si>
    <t>C-1　現場条件により、設計書、特記仕様書等で指定されているものに要した費用</t>
    <rPh sb="4" eb="6">
      <t>ゲンバ</t>
    </rPh>
    <rPh sb="6" eb="8">
      <t>ジョウケン</t>
    </rPh>
    <rPh sb="12" eb="15">
      <t>セッケイショ</t>
    </rPh>
    <rPh sb="16" eb="18">
      <t>トッキ</t>
    </rPh>
    <rPh sb="18" eb="21">
      <t>シヨウショ</t>
    </rPh>
    <rPh sb="21" eb="22">
      <t>トウ</t>
    </rPh>
    <rPh sb="23" eb="25">
      <t>シテイ</t>
    </rPh>
    <rPh sb="33" eb="34">
      <t>ヨウ</t>
    </rPh>
    <rPh sb="36" eb="38">
      <t>ヒヨウ</t>
    </rPh>
    <phoneticPr fontId="5"/>
  </si>
  <si>
    <t>D-1　各種調査等（設計書、特記仕様書等で指定されている各種調査）に要した費用</t>
    <rPh sb="4" eb="6">
      <t>カクシュ</t>
    </rPh>
    <rPh sb="6" eb="8">
      <t>チョウサ</t>
    </rPh>
    <rPh sb="8" eb="9">
      <t>トウ</t>
    </rPh>
    <rPh sb="10" eb="12">
      <t>セッケイ</t>
    </rPh>
    <rPh sb="12" eb="13">
      <t>ショ</t>
    </rPh>
    <rPh sb="14" eb="16">
      <t>トッキ</t>
    </rPh>
    <rPh sb="16" eb="19">
      <t>シヨウショ</t>
    </rPh>
    <rPh sb="19" eb="20">
      <t>トウ</t>
    </rPh>
    <rPh sb="21" eb="23">
      <t>シテイ</t>
    </rPh>
    <rPh sb="28" eb="30">
      <t>カクシュ</t>
    </rPh>
    <rPh sb="30" eb="32">
      <t>チョウサ</t>
    </rPh>
    <rPh sb="34" eb="35">
      <t>ヨウ</t>
    </rPh>
    <rPh sb="37" eb="39">
      <t>ヒヨウ</t>
    </rPh>
    <phoneticPr fontId="5"/>
  </si>
  <si>
    <t>E-1　各種台帳等の作成及び修正に要した費用</t>
    <rPh sb="4" eb="6">
      <t>カクシュ</t>
    </rPh>
    <rPh sb="6" eb="8">
      <t>ダイチョウ</t>
    </rPh>
    <rPh sb="8" eb="9">
      <t>トウ</t>
    </rPh>
    <rPh sb="10" eb="12">
      <t>サクセイ</t>
    </rPh>
    <rPh sb="12" eb="13">
      <t>オヨ</t>
    </rPh>
    <rPh sb="14" eb="16">
      <t>シュウセイ</t>
    </rPh>
    <rPh sb="17" eb="18">
      <t>ヨウ</t>
    </rPh>
    <rPh sb="20" eb="22">
      <t>ヒヨウ</t>
    </rPh>
    <phoneticPr fontId="5"/>
  </si>
  <si>
    <t>F-1　上記「A～E」以外で、特に技術的判断に必要な資料の作成に要した費用</t>
    <rPh sb="4" eb="6">
      <t>ジョウキ</t>
    </rPh>
    <rPh sb="11" eb="13">
      <t>イガイ</t>
    </rPh>
    <rPh sb="15" eb="16">
      <t>トク</t>
    </rPh>
    <rPh sb="17" eb="20">
      <t>ギジュツテキ</t>
    </rPh>
    <rPh sb="20" eb="22">
      <t>ハンダン</t>
    </rPh>
    <rPh sb="23" eb="25">
      <t>ヒツヨウ</t>
    </rPh>
    <rPh sb="26" eb="28">
      <t>シリョウ</t>
    </rPh>
    <rPh sb="29" eb="31">
      <t>サクセイ</t>
    </rPh>
    <rPh sb="32" eb="33">
      <t>ヨウ</t>
    </rPh>
    <rPh sb="35" eb="37">
      <t>ヒヨウ</t>
    </rPh>
    <phoneticPr fontId="5"/>
  </si>
  <si>
    <t>発注者側で積算計上したものに応じた費用を元請ファイルに入力するよう元請担当者に伝えて下さい</t>
    <rPh sb="17" eb="19">
      <t>ヒヨウ</t>
    </rPh>
    <rPh sb="33" eb="35">
      <t>モトウケ</t>
    </rPh>
    <rPh sb="35" eb="38">
      <t>タントウシャ</t>
    </rPh>
    <rPh sb="39" eb="40">
      <t>ツタ</t>
    </rPh>
    <rPh sb="42" eb="43">
      <t>クダ</t>
    </rPh>
    <phoneticPr fontId="5"/>
  </si>
  <si>
    <t>プレキャストアーチカルバート（ﾓｼﾞｭﾗｰﾁ・ﾃｸﾉｽﾊﾟﾝ等の製品費）</t>
    <rPh sb="30" eb="31">
      <t>トウ</t>
    </rPh>
    <rPh sb="32" eb="34">
      <t>セイヒン</t>
    </rPh>
    <rPh sb="34" eb="35">
      <t>ヒ</t>
    </rPh>
    <phoneticPr fontId="4"/>
  </si>
  <si>
    <t>プレキャストボックスカルバート（内空5m×5m以上：車道BOX相当）</t>
    <rPh sb="16" eb="17">
      <t>ナイ</t>
    </rPh>
    <rPh sb="17" eb="18">
      <t>クウ</t>
    </rPh>
    <rPh sb="23" eb="25">
      <t>イジョウ</t>
    </rPh>
    <rPh sb="26" eb="28">
      <t>シャドウ</t>
    </rPh>
    <rPh sb="31" eb="33">
      <t>ソウトウ</t>
    </rPh>
    <phoneticPr fontId="4"/>
  </si>
  <si>
    <r>
      <t>元請ファイルの共通仮設費（率分）が</t>
    </r>
    <r>
      <rPr>
        <b/>
        <sz val="11"/>
        <rFont val="ＭＳ Ｐゴシック"/>
        <family val="3"/>
        <charset val="128"/>
      </rPr>
      <t>「0」</t>
    </r>
    <rPh sb="7" eb="12">
      <t>キョウツウカセツヒ</t>
    </rPh>
    <rPh sb="13" eb="14">
      <t>リツ</t>
    </rPh>
    <rPh sb="14" eb="15">
      <t>ブン</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</si>
  <si>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カダイ</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</si>
  <si>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カショウ</t>
    </rPh>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</si>
  <si>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4"/>
  </si>
  <si>
    <t>要確認16</t>
    <phoneticPr fontId="5"/>
  </si>
  <si>
    <t>要確認17</t>
    <phoneticPr fontId="5"/>
  </si>
  <si>
    <t>要確認18</t>
    <phoneticPr fontId="5"/>
  </si>
  <si>
    <t>要確認19</t>
    <phoneticPr fontId="5"/>
  </si>
  <si>
    <t>要確認内容</t>
    <rPh sb="0" eb="1">
      <t>ヨウ</t>
    </rPh>
    <rPh sb="1" eb="3">
      <t>カクニン</t>
    </rPh>
    <rPh sb="3" eb="5">
      <t>ナイヨウ</t>
    </rPh>
    <phoneticPr fontId="5"/>
  </si>
  <si>
    <r>
      <t>(その他の例：設計成果の遅延及び事前調査不足による)　</t>
    </r>
    <r>
      <rPr>
        <sz val="10"/>
        <rFont val="ＭＳ Ｐゴシック"/>
        <family val="3"/>
        <charset val="128"/>
      </rPr>
      <t>　       　　 理由６：</t>
    </r>
    <rPh sb="3" eb="4">
      <t>タ</t>
    </rPh>
    <rPh sb="5" eb="6">
      <t>レイ</t>
    </rPh>
    <phoneticPr fontId="5"/>
  </si>
  <si>
    <r>
      <t>元請ファイルの共通仮設費（率分）が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</si>
  <si>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r>
      <t>発注ファイルの共通仮設費（率分）が</t>
    </r>
    <r>
      <rPr>
        <b/>
        <sz val="11"/>
        <rFont val="ＭＳ Ｐゴシック"/>
        <family val="3"/>
        <charset val="128"/>
      </rPr>
      <t>「0」</t>
    </r>
    <rPh sb="7" eb="12">
      <t>キョウツウカセツヒ</t>
    </rPh>
    <rPh sb="13" eb="14">
      <t>リツ</t>
    </rPh>
    <rPh sb="14" eb="15">
      <t>ブン</t>
    </rPh>
    <phoneticPr fontId="5"/>
  </si>
  <si>
    <t>066：相模原市</t>
    <rPh sb="4" eb="7">
      <t>サガミハラ</t>
    </rPh>
    <rPh sb="7" eb="8">
      <t>シ</t>
    </rPh>
    <phoneticPr fontId="5"/>
  </si>
  <si>
    <t>除雪工事補正の有無</t>
    <rPh sb="0" eb="2">
      <t>ジョセツ</t>
    </rPh>
    <rPh sb="2" eb="4">
      <t>コウジ</t>
    </rPh>
    <rPh sb="4" eb="6">
      <t>ホセイ</t>
    </rPh>
    <rPh sb="7" eb="9">
      <t>ウム</t>
    </rPh>
    <phoneticPr fontId="5"/>
  </si>
  <si>
    <t>その他①</t>
    <rPh sb="2" eb="3">
      <t>タ</t>
    </rPh>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</si>
  <si>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①現場作業員の賃金を「現場管理費の社員等従業員給料手当」に誤計上し、労務費が過小となっていないか？</t>
    </r>
    <r>
      <rPr>
        <sz val="10"/>
        <rFont val="ＭＳ Ｐゴシック"/>
        <family val="3"/>
        <charset val="128"/>
      </rPr>
      <t xml:space="preserve">
　</t>
    </r>
    <r>
      <rPr>
        <b/>
        <sz val="10"/>
        <rFont val="ＭＳ Ｐゴシック"/>
        <family val="3"/>
        <charset val="128"/>
      </rPr>
      <t>②「工事費」シートの「下請」入力欄において、「労務費」より「社員等従業員給料手当」が大きい場合は①を要確認</t>
    </r>
    <rPh sb="99" eb="102">
      <t>ロウムヒ</t>
    </rPh>
    <rPh sb="103" eb="105">
      <t>カショウ</t>
    </rPh>
    <rPh sb="127" eb="129">
      <t>シタウケ</t>
    </rPh>
    <rPh sb="130" eb="132">
      <t>ニュウリョク</t>
    </rPh>
    <rPh sb="132" eb="133">
      <t>ラン</t>
    </rPh>
    <rPh sb="139" eb="142">
      <t>ロウムヒ</t>
    </rPh>
    <rPh sb="146" eb="148">
      <t>シャイン</t>
    </rPh>
    <rPh sb="148" eb="149">
      <t>トウ</t>
    </rPh>
    <rPh sb="149" eb="152">
      <t>ジュウギョウイン</t>
    </rPh>
    <rPh sb="152" eb="154">
      <t>キュウリョウ</t>
    </rPh>
    <rPh sb="154" eb="156">
      <t>テアテ</t>
    </rPh>
    <rPh sb="158" eb="159">
      <t>オオ</t>
    </rPh>
    <rPh sb="161" eb="163">
      <t>バアイ</t>
    </rPh>
    <rPh sb="166" eb="167">
      <t>ヨウ</t>
    </rPh>
    <rPh sb="167" eb="169">
      <t>カクニン</t>
    </rPh>
    <phoneticPr fontId="5"/>
  </si>
  <si>
    <t>1.金額は「千円」単位での入力になっているか？
2.発注ファイルの入力金額は正しいか？
3.元請ファイルの入力金額は正しいか？
　①共通仮設費との二重計上はないか？
　②計上漏れはないか？</t>
    <rPh sb="66" eb="68">
      <t>キョウツウ</t>
    </rPh>
    <rPh sb="68" eb="71">
      <t>カセツヒ</t>
    </rPh>
    <rPh sb="85" eb="87">
      <t>ケイジョウ</t>
    </rPh>
    <rPh sb="87" eb="88">
      <t>モ</t>
    </rPh>
    <phoneticPr fontId="5"/>
  </si>
  <si>
    <t>　(７)その他
　　　元請ファイルは、貸与機械等現場
　　　修理・管理費+直接経費+特殊経費</t>
    <rPh sb="6" eb="7">
      <t>タ</t>
    </rPh>
    <phoneticPr fontId="5"/>
  </si>
  <si>
    <t>機械器具等損料</t>
    <rPh sb="2" eb="3">
      <t>ウツワ</t>
    </rPh>
    <phoneticPr fontId="4"/>
  </si>
  <si>
    <t>元請：一般管理費等が大きい</t>
    <rPh sb="0" eb="2">
      <t>モトウケ</t>
    </rPh>
    <rPh sb="3" eb="5">
      <t>イッパン</t>
    </rPh>
    <rPh sb="5" eb="7">
      <t>カンリ</t>
    </rPh>
    <rPh sb="7" eb="8">
      <t>ヒ</t>
    </rPh>
    <rPh sb="8" eb="9">
      <t>トウ</t>
    </rPh>
    <phoneticPr fontId="5"/>
  </si>
  <si>
    <r>
      <t xml:space="preserve">④鋼橋等工場製作費
</t>
    </r>
    <r>
      <rPr>
        <sz val="9"/>
        <rFont val="ＭＳ Ｐゴシック"/>
        <family val="3"/>
        <charset val="128"/>
      </rPr>
      <t>(電気通信設備工事の場合は、機器単体費)</t>
    </r>
    <rPh sb="13" eb="15">
      <t>ツウシン</t>
    </rPh>
    <rPh sb="15" eb="17">
      <t>セツビ</t>
    </rPh>
    <rPh sb="26" eb="28">
      <t>タンタイ</t>
    </rPh>
    <phoneticPr fontId="5"/>
  </si>
  <si>
    <t>⑤別途調査等工事価格</t>
    <phoneticPr fontId="5"/>
  </si>
  <si>
    <t>一般競争入札の場合の評価方法</t>
    <rPh sb="0" eb="2">
      <t>イッパン</t>
    </rPh>
    <rPh sb="2" eb="4">
      <t>キョウソウ</t>
    </rPh>
    <rPh sb="4" eb="6">
      <t>ニュウサツ</t>
    </rPh>
    <rPh sb="7" eb="9">
      <t>バアイ</t>
    </rPh>
    <rPh sb="10" eb="12">
      <t>ヒョウカ</t>
    </rPh>
    <rPh sb="12" eb="14">
      <t>ホウホウ</t>
    </rPh>
    <phoneticPr fontId="5"/>
  </si>
  <si>
    <r>
      <t>発注ファイル及び元請ファイルの鋼橋等工場製作費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</si>
  <si>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t>共通仮設費積算対象金額(自動計算値)</t>
    <rPh sb="12" eb="14">
      <t>ジドウ</t>
    </rPh>
    <rPh sb="14" eb="16">
      <t>ケイサン</t>
    </rPh>
    <rPh sb="16" eb="17">
      <t>アタイ</t>
    </rPh>
    <phoneticPr fontId="5"/>
  </si>
  <si>
    <r>
      <t>※</t>
    </r>
    <r>
      <rPr>
        <sz val="9"/>
        <rFont val="ＭＳ Ｐゴシック"/>
        <family val="3"/>
        <charset val="128"/>
      </rPr>
      <t>共通仮設費積算対象金額の自動計算値は、下記により算出しています。
　「①直接工事費」＋「(2)支給材料費」＋「(5)無償貸付機械等評価額」＋「ハ事業損失防止施設費」
　+「ロ準備費B処分費」－「共通仮設費の対象額に含めない費用」
　入力した金額と自動計算値にひらきがある場合、上記の各金額を確認してください。</t>
    </r>
    <rPh sb="117" eb="119">
      <t>ニュウリョク</t>
    </rPh>
    <rPh sb="121" eb="123">
      <t>キンガク</t>
    </rPh>
    <rPh sb="124" eb="126">
      <t>ジドウ</t>
    </rPh>
    <rPh sb="126" eb="129">
      <t>ケイサンチ</t>
    </rPh>
    <rPh sb="136" eb="138">
      <t>バアイ</t>
    </rPh>
    <rPh sb="139" eb="141">
      <t>ジョウキ</t>
    </rPh>
    <rPh sb="142" eb="143">
      <t>カク</t>
    </rPh>
    <rPh sb="143" eb="145">
      <t>キンガク</t>
    </rPh>
    <rPh sb="146" eb="148">
      <t>カクニン</t>
    </rPh>
    <phoneticPr fontId="4"/>
  </si>
  <si>
    <t>外注一般管理費等が大きい</t>
    <rPh sb="0" eb="2">
      <t>ガイチュウ</t>
    </rPh>
    <rPh sb="2" eb="4">
      <t>イッパン</t>
    </rPh>
    <rPh sb="4" eb="7">
      <t>カンリヒ</t>
    </rPh>
    <rPh sb="7" eb="8">
      <t>トウ</t>
    </rPh>
    <rPh sb="9" eb="10">
      <t>オオ</t>
    </rPh>
    <phoneticPr fontId="5"/>
  </si>
  <si>
    <t>元請：一般管理費等が小さい（マイナス）</t>
    <rPh sb="0" eb="2">
      <t>モトウケ</t>
    </rPh>
    <rPh sb="3" eb="5">
      <t>イッパン</t>
    </rPh>
    <rPh sb="5" eb="7">
      <t>カンリ</t>
    </rPh>
    <rPh sb="7" eb="8">
      <t>ヒ</t>
    </rPh>
    <rPh sb="8" eb="9">
      <t>トウ</t>
    </rPh>
    <rPh sb="10" eb="11">
      <t>チイ</t>
    </rPh>
    <phoneticPr fontId="5"/>
  </si>
  <si>
    <t>器機材</t>
    <rPh sb="1" eb="2">
      <t>キキ</t>
    </rPh>
    <rPh sb="2" eb="3">
      <t>ザイ</t>
    </rPh>
    <phoneticPr fontId="5"/>
  </si>
  <si>
    <t>現場内小運搬</t>
    <rPh sb="0" eb="2">
      <t>ゲンバ</t>
    </rPh>
    <rPh sb="2" eb="3">
      <t>ナイ</t>
    </rPh>
    <rPh sb="3" eb="4">
      <t>ショウ</t>
    </rPh>
    <rPh sb="4" eb="6">
      <t>ウンパン</t>
    </rPh>
    <phoneticPr fontId="5"/>
  </si>
  <si>
    <t>③一般管理費等</t>
    <rPh sb="1" eb="3">
      <t>イッパン</t>
    </rPh>
    <rPh sb="3" eb="6">
      <t>カンリヒ</t>
    </rPh>
    <rPh sb="6" eb="7">
      <t>ナド</t>
    </rPh>
    <phoneticPr fontId="5"/>
  </si>
  <si>
    <t>整理番号</t>
    <rPh sb="0" eb="2">
      <t>セイリ</t>
    </rPh>
    <rPh sb="2" eb="4">
      <t>バンゴウ</t>
    </rPh>
    <phoneticPr fontId="5"/>
  </si>
  <si>
    <t>その他の場合入力</t>
    <rPh sb="0" eb="3">
      <t>ソノタ</t>
    </rPh>
    <rPh sb="4" eb="6">
      <t>バアイ</t>
    </rPh>
    <rPh sb="6" eb="8">
      <t>ニュウリョク</t>
    </rPh>
    <phoneticPr fontId="6"/>
  </si>
  <si>
    <t>YESの場合：理由を入力</t>
    <phoneticPr fontId="6"/>
  </si>
  <si>
    <t>３．用地取得　　　　４．地元説明　　　　　　　　　　　　　　　　　理由４：</t>
    <rPh sb="2" eb="4">
      <t>ヨウチ</t>
    </rPh>
    <rPh sb="4" eb="6">
      <t>シュトク</t>
    </rPh>
    <rPh sb="12" eb="14">
      <t>ジモト</t>
    </rPh>
    <rPh sb="14" eb="16">
      <t>セツメイ</t>
    </rPh>
    <phoneticPr fontId="5"/>
  </si>
  <si>
    <t>２．入力の順番</t>
    <rPh sb="5" eb="7">
      <t>ジュンバン</t>
    </rPh>
    <phoneticPr fontId="5"/>
  </si>
  <si>
    <t>ｼｰﾄを選択して入力して下さい。</t>
    <rPh sb="4" eb="6">
      <t>センタク</t>
    </rPh>
    <rPh sb="8" eb="10">
      <t>ニュウリョク</t>
    </rPh>
    <rPh sb="10" eb="13">
      <t>シテクダ</t>
    </rPh>
    <phoneticPr fontId="10"/>
  </si>
  <si>
    <t>フリガナ</t>
    <phoneticPr fontId="4"/>
  </si>
  <si>
    <t>請負業者名</t>
    <rPh sb="0" eb="2">
      <t>ウケオ</t>
    </rPh>
    <rPh sb="2" eb="4">
      <t>ギョウシャ</t>
    </rPh>
    <rPh sb="4" eb="5">
      <t>メイ</t>
    </rPh>
    <phoneticPr fontId="4"/>
  </si>
  <si>
    <t>施工分散・地域区分複数についての調査票</t>
    <rPh sb="0" eb="2">
      <t>セコウ</t>
    </rPh>
    <rPh sb="2" eb="4">
      <t>ブンサン</t>
    </rPh>
    <rPh sb="5" eb="7">
      <t>チイキ</t>
    </rPh>
    <rPh sb="7" eb="9">
      <t>クブン</t>
    </rPh>
    <rPh sb="9" eb="11">
      <t>フクスウ</t>
    </rPh>
    <rPh sb="16" eb="19">
      <t>チョウサヒョウ</t>
    </rPh>
    <phoneticPr fontId="5"/>
  </si>
  <si>
    <t>有無</t>
    <phoneticPr fontId="5"/>
  </si>
  <si>
    <t>昼夜</t>
    <rPh sb="0" eb="1">
      <t>ヒル</t>
    </rPh>
    <rPh sb="1" eb="2">
      <t>ヨル</t>
    </rPh>
    <phoneticPr fontId="5"/>
  </si>
  <si>
    <t>施工箇所</t>
    <rPh sb="0" eb="2">
      <t>セコウ</t>
    </rPh>
    <rPh sb="2" eb="4">
      <t>カショ</t>
    </rPh>
    <phoneticPr fontId="5"/>
  </si>
  <si>
    <t>Yes/No</t>
    <phoneticPr fontId="5"/>
  </si>
  <si>
    <t>施工地域特性</t>
    <rPh sb="0" eb="2">
      <t>セコウ</t>
    </rPh>
    <rPh sb="2" eb="4">
      <t>チイキ</t>
    </rPh>
    <rPh sb="4" eb="6">
      <t>トクセイ</t>
    </rPh>
    <phoneticPr fontId="5"/>
  </si>
  <si>
    <t>施工分散または地域区分複数の有無</t>
    <rPh sb="0" eb="2">
      <t>セコウ</t>
    </rPh>
    <rPh sb="2" eb="4">
      <t>ブンサン</t>
    </rPh>
    <rPh sb="7" eb="9">
      <t>チイキ</t>
    </rPh>
    <rPh sb="9" eb="11">
      <t>クブン</t>
    </rPh>
    <rPh sb="11" eb="13">
      <t>フクスウ</t>
    </rPh>
    <rPh sb="14" eb="16">
      <t>ウム</t>
    </rPh>
    <phoneticPr fontId="5"/>
  </si>
  <si>
    <t>有</t>
    <rPh sb="0" eb="1">
      <t>ア</t>
    </rPh>
    <phoneticPr fontId="5"/>
  </si>
  <si>
    <t>昼間施工</t>
    <rPh sb="0" eb="2">
      <t>チュウカン</t>
    </rPh>
    <rPh sb="2" eb="4">
      <t>セコウ</t>
    </rPh>
    <phoneticPr fontId="5"/>
  </si>
  <si>
    <t>路上</t>
    <rPh sb="0" eb="2">
      <t>ロジョウ</t>
    </rPh>
    <phoneticPr fontId="5"/>
  </si>
  <si>
    <t>日々運搬回送</t>
    <rPh sb="0" eb="2">
      <t>ヒビ</t>
    </rPh>
    <rPh sb="2" eb="4">
      <t>ウンパン</t>
    </rPh>
    <rPh sb="4" eb="6">
      <t>カイソウ</t>
    </rPh>
    <phoneticPr fontId="5"/>
  </si>
  <si>
    <t>Yes</t>
    <phoneticPr fontId="5"/>
  </si>
  <si>
    <t>市街地</t>
    <rPh sb="0" eb="3">
      <t>シガイチ</t>
    </rPh>
    <phoneticPr fontId="5"/>
  </si>
  <si>
    <t>無</t>
    <rPh sb="0" eb="1">
      <t>ナ</t>
    </rPh>
    <phoneticPr fontId="5"/>
  </si>
  <si>
    <t>夜間施工</t>
    <rPh sb="0" eb="2">
      <t>ヤカン</t>
    </rPh>
    <rPh sb="2" eb="4">
      <t>セコウ</t>
    </rPh>
    <phoneticPr fontId="5"/>
  </si>
  <si>
    <t>保管場所あり</t>
    <rPh sb="0" eb="2">
      <t>ホカン</t>
    </rPh>
    <rPh sb="2" eb="4">
      <t>バショ</t>
    </rPh>
    <phoneticPr fontId="5"/>
  </si>
  <si>
    <t>No</t>
    <phoneticPr fontId="5"/>
  </si>
  <si>
    <t>山間僻地及び離島</t>
    <rPh sb="0" eb="2">
      <t>サンカン</t>
    </rPh>
    <rPh sb="2" eb="4">
      <t>ヘキチ</t>
    </rPh>
    <rPh sb="4" eb="5">
      <t>オヨ</t>
    </rPh>
    <rPh sb="6" eb="8">
      <t>リトウ</t>
    </rPh>
    <phoneticPr fontId="5"/>
  </si>
  <si>
    <t>地方部（施工場所が一般交通等の影響を受ける地区）</t>
    <rPh sb="0" eb="3">
      <t>チホウブ</t>
    </rPh>
    <rPh sb="4" eb="6">
      <t>セコウ</t>
    </rPh>
    <rPh sb="6" eb="8">
      <t>バショ</t>
    </rPh>
    <rPh sb="9" eb="11">
      <t>イッパン</t>
    </rPh>
    <rPh sb="11" eb="13">
      <t>コウツウ</t>
    </rPh>
    <rPh sb="13" eb="14">
      <t>トウ</t>
    </rPh>
    <rPh sb="15" eb="17">
      <t>エイキョウ</t>
    </rPh>
    <rPh sb="18" eb="19">
      <t>ウ</t>
    </rPh>
    <rPh sb="21" eb="23">
      <t>チク</t>
    </rPh>
    <phoneticPr fontId="5"/>
  </si>
  <si>
    <t>箇所</t>
    <rPh sb="0" eb="2">
      <t>カショ</t>
    </rPh>
    <phoneticPr fontId="5"/>
  </si>
  <si>
    <t>地方部（施工場所が一般交通等の影響を受けない地区）</t>
    <rPh sb="0" eb="3">
      <t>チホウブ</t>
    </rPh>
    <rPh sb="4" eb="6">
      <t>セコウ</t>
    </rPh>
    <rPh sb="6" eb="8">
      <t>バショ</t>
    </rPh>
    <rPh sb="9" eb="11">
      <t>イッパン</t>
    </rPh>
    <rPh sb="11" eb="13">
      <t>コウツウ</t>
    </rPh>
    <rPh sb="13" eb="14">
      <t>トウ</t>
    </rPh>
    <rPh sb="15" eb="17">
      <t>エイキョウ</t>
    </rPh>
    <rPh sb="18" eb="19">
      <t>ウ</t>
    </rPh>
    <rPh sb="22" eb="24">
      <t>チク</t>
    </rPh>
    <phoneticPr fontId="5"/>
  </si>
  <si>
    <t>施工分散または地域区分複数の箇所数</t>
    <rPh sb="0" eb="2">
      <t>セコウ</t>
    </rPh>
    <rPh sb="2" eb="4">
      <t>ブンサン</t>
    </rPh>
    <rPh sb="7" eb="9">
      <t>チイキ</t>
    </rPh>
    <rPh sb="9" eb="11">
      <t>クブン</t>
    </rPh>
    <rPh sb="11" eb="13">
      <t>フクスウ</t>
    </rPh>
    <rPh sb="14" eb="16">
      <t>カショ</t>
    </rPh>
    <rPh sb="16" eb="17">
      <t>スウ</t>
    </rPh>
    <phoneticPr fontId="5"/>
  </si>
  <si>
    <t>間接工事費実績変更項目の内容</t>
    <rPh sb="0" eb="2">
      <t>カンセツ</t>
    </rPh>
    <rPh sb="2" eb="5">
      <t>コウジヒ</t>
    </rPh>
    <rPh sb="5" eb="7">
      <t>ジッセキ</t>
    </rPh>
    <rPh sb="7" eb="9">
      <t>ヘンコウ</t>
    </rPh>
    <rPh sb="9" eb="11">
      <t>コウモク</t>
    </rPh>
    <phoneticPr fontId="5"/>
  </si>
  <si>
    <t>(単位：千円)</t>
    <phoneticPr fontId="4"/>
  </si>
  <si>
    <t>（</t>
    <phoneticPr fontId="6"/>
  </si>
  <si>
    <t>日）</t>
    <phoneticPr fontId="6"/>
  </si>
  <si>
    <t>回）</t>
    <phoneticPr fontId="6"/>
  </si>
  <si>
    <t>構成比率</t>
    <rPh sb="0" eb="2">
      <t>コウセイ</t>
    </rPh>
    <rPh sb="2" eb="4">
      <t>ヒリツ</t>
    </rPh>
    <phoneticPr fontId="5"/>
  </si>
  <si>
    <r>
      <t xml:space="preserve">鋼橋等工場製作費
</t>
    </r>
    <r>
      <rPr>
        <sz val="10"/>
        <rFont val="ＭＳ Ｐゴシック"/>
        <family val="3"/>
        <charset val="128"/>
      </rPr>
      <t>（電気通信設備工事の場合は、機器単体費）</t>
    </r>
    <rPh sb="12" eb="14">
      <t>ツウシン</t>
    </rPh>
    <rPh sb="14" eb="16">
      <t>セツビ</t>
    </rPh>
    <rPh sb="23" eb="25">
      <t>キキ</t>
    </rPh>
    <rPh sb="25" eb="27">
      <t>タンタイ</t>
    </rPh>
    <rPh sb="27" eb="28">
      <t>ヒ</t>
    </rPh>
    <phoneticPr fontId="4"/>
  </si>
  <si>
    <t>金額単位：千円</t>
    <phoneticPr fontId="4"/>
  </si>
  <si>
    <t>積算に用いた一時中止に伴い増加する現場経費率</t>
    <rPh sb="0" eb="2">
      <t>セキサン</t>
    </rPh>
    <rPh sb="3" eb="4">
      <t>モチ</t>
    </rPh>
    <rPh sb="6" eb="8">
      <t>イチジ</t>
    </rPh>
    <rPh sb="8" eb="10">
      <t>チュウシ</t>
    </rPh>
    <rPh sb="11" eb="12">
      <t>トモナ</t>
    </rPh>
    <rPh sb="13" eb="15">
      <t>ゾウカ</t>
    </rPh>
    <rPh sb="17" eb="19">
      <t>ゲンバ</t>
    </rPh>
    <rPh sb="19" eb="21">
      <t>ケイヒ</t>
    </rPh>
    <rPh sb="21" eb="22">
      <t>リツ</t>
    </rPh>
    <phoneticPr fontId="5"/>
  </si>
  <si>
    <t>％）</t>
    <phoneticPr fontId="5"/>
  </si>
  <si>
    <t>（</t>
    <phoneticPr fontId="6"/>
  </si>
  <si>
    <t>YESの場合：理由を入力</t>
    <rPh sb="10" eb="12">
      <t>ニュウリョク</t>
    </rPh>
    <phoneticPr fontId="6"/>
  </si>
  <si>
    <t>1.金額は「千円」単位での入力になっているか？
2.発注ファイルの入力金額は正しいか？
3.元請ファイルの入力金額は正しいか？
4.工場製作費（機器単体費）と材料費の二重計上はないか？</t>
    <rPh sb="66" eb="68">
      <t>コウジョウ</t>
    </rPh>
    <rPh sb="68" eb="71">
      <t>セイサクヒ</t>
    </rPh>
    <rPh sb="72" eb="74">
      <t>キキ</t>
    </rPh>
    <rPh sb="74" eb="76">
      <t>タンタイ</t>
    </rPh>
    <rPh sb="76" eb="77">
      <t>ヒ</t>
    </rPh>
    <rPh sb="79" eb="82">
      <t>ザイリョウヒ</t>
    </rPh>
    <rPh sb="83" eb="85">
      <t>ニジュウ</t>
    </rPh>
    <rPh sb="85" eb="87">
      <t>ケイジョウ</t>
    </rPh>
    <phoneticPr fontId="5"/>
  </si>
  <si>
    <t>機器間接費</t>
    <rPh sb="0" eb="2">
      <t>キキ</t>
    </rPh>
    <phoneticPr fontId="5"/>
  </si>
  <si>
    <t>要確認78</t>
    <phoneticPr fontId="5"/>
  </si>
  <si>
    <r>
      <t>発注ファイル及び元請ファイルの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15" eb="17">
      <t>キキ</t>
    </rPh>
    <rPh sb="17" eb="19">
      <t>カンセツ</t>
    </rPh>
    <rPh sb="19" eb="20">
      <t>ヒ</t>
    </rPh>
    <phoneticPr fontId="5"/>
  </si>
  <si>
    <t>機器間接費を入力して下さい</t>
    <rPh sb="0" eb="2">
      <t>キキ</t>
    </rPh>
    <rPh sb="2" eb="4">
      <t>カンセツ</t>
    </rPh>
    <rPh sb="4" eb="5">
      <t>ヒ</t>
    </rPh>
    <phoneticPr fontId="5"/>
  </si>
  <si>
    <t>高速以外</t>
    <rPh sb="0" eb="2">
      <t>コウソク</t>
    </rPh>
    <rPh sb="2" eb="4">
      <t>イガイ</t>
    </rPh>
    <phoneticPr fontId="5"/>
  </si>
  <si>
    <t>鋼橋等工場製作費</t>
    <phoneticPr fontId="5"/>
  </si>
  <si>
    <r>
      <t>発注ファイル及び元請ファイルの鋼橋等工場製作費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</si>
  <si>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r>
      <t>発注ファイルの鋼橋等工場製作費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</si>
  <si>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r>
      <t>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</si>
  <si>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カダイ</t>
    </rPh>
    <phoneticPr fontId="5"/>
  </si>
  <si>
    <t>合成床版</t>
    <rPh sb="0" eb="2">
      <t>ゴウセイ</t>
    </rPh>
    <rPh sb="2" eb="4">
      <t>ショウバン</t>
    </rPh>
    <phoneticPr fontId="4"/>
  </si>
  <si>
    <t>鋼製橋脚アンカーフレーム用アンカーボルト</t>
    <rPh sb="0" eb="2">
      <t>コウセイ</t>
    </rPh>
    <rPh sb="2" eb="4">
      <t>キョウキャク</t>
    </rPh>
    <rPh sb="12" eb="13">
      <t>ヨウ</t>
    </rPh>
    <phoneticPr fontId="4"/>
  </si>
  <si>
    <r>
      <t>F</t>
    </r>
    <r>
      <rPr>
        <sz val="11"/>
        <rFont val="ＭＳ Ｐゴシック"/>
        <family val="3"/>
        <charset val="128"/>
      </rPr>
      <t>AX</t>
    </r>
    <phoneticPr fontId="4"/>
  </si>
  <si>
    <t>材料費</t>
  </si>
  <si>
    <t>労務費</t>
  </si>
  <si>
    <t>ロ</t>
  </si>
  <si>
    <t>ニ</t>
  </si>
  <si>
    <t>ホ</t>
  </si>
  <si>
    <t>ヘ</t>
  </si>
  <si>
    <t>ト</t>
  </si>
  <si>
    <t>チ</t>
  </si>
  <si>
    <t>　3.各項目の内容の記入方法は、直接工事費は細目（ﾚﾍﾞﾙ4）、間接工事費は、積上げ項目名・費目名を入力してください。</t>
    <rPh sb="3" eb="4">
      <t>カク</t>
    </rPh>
    <rPh sb="4" eb="6">
      <t>コウモク</t>
    </rPh>
    <rPh sb="7" eb="9">
      <t>ナイヨウ</t>
    </rPh>
    <rPh sb="10" eb="12">
      <t>キニュウ</t>
    </rPh>
    <rPh sb="12" eb="14">
      <t>ホウホウ</t>
    </rPh>
    <rPh sb="16" eb="18">
      <t>チョクセツ</t>
    </rPh>
    <rPh sb="18" eb="21">
      <t>コウジヒ</t>
    </rPh>
    <rPh sb="22" eb="24">
      <t>サイモク</t>
    </rPh>
    <rPh sb="32" eb="34">
      <t>カンセツ</t>
    </rPh>
    <rPh sb="34" eb="37">
      <t>コウジヒ</t>
    </rPh>
    <rPh sb="39" eb="41">
      <t>ツミア</t>
    </rPh>
    <rPh sb="42" eb="44">
      <t>コウモク</t>
    </rPh>
    <rPh sb="44" eb="45">
      <t>メイ</t>
    </rPh>
    <rPh sb="46" eb="48">
      <t>ヒモク</t>
    </rPh>
    <rPh sb="48" eb="49">
      <t>メイ</t>
    </rPh>
    <rPh sb="50" eb="52">
      <t>ニュウリョク</t>
    </rPh>
    <phoneticPr fontId="5"/>
  </si>
  <si>
    <t>　　　　　例）　①直接工事費 ： 受注者の金額が発注者の積算に対して過小　→　確認結果 ： 材料の安価購入（元請に確認）　</t>
    <rPh sb="5" eb="6">
      <t>レイ</t>
    </rPh>
    <rPh sb="9" eb="11">
      <t>チョクセツ</t>
    </rPh>
    <rPh sb="11" eb="14">
      <t>コウジヒ</t>
    </rPh>
    <rPh sb="17" eb="20">
      <t>ジュチュウシャ</t>
    </rPh>
    <rPh sb="21" eb="23">
      <t>キンガク</t>
    </rPh>
    <rPh sb="24" eb="27">
      <t>ハッチュウシャ</t>
    </rPh>
    <rPh sb="28" eb="30">
      <t>セキサン</t>
    </rPh>
    <rPh sb="31" eb="32">
      <t>タイ</t>
    </rPh>
    <rPh sb="34" eb="36">
      <t>カショウ</t>
    </rPh>
    <rPh sb="39" eb="41">
      <t>カクニン</t>
    </rPh>
    <rPh sb="41" eb="43">
      <t>ケッカ</t>
    </rPh>
    <rPh sb="46" eb="48">
      <t>ザイリョウ</t>
    </rPh>
    <rPh sb="49" eb="51">
      <t>アンカ</t>
    </rPh>
    <rPh sb="51" eb="53">
      <t>コウニュウ</t>
    </rPh>
    <rPh sb="54" eb="56">
      <t>モトウケ</t>
    </rPh>
    <rPh sb="57" eb="59">
      <t>カクニン</t>
    </rPh>
    <phoneticPr fontId="5"/>
  </si>
  <si>
    <t>1.金額は「千円」単位での入力になっているか？
2.発注ファイルの入力金額は正しいか？
3.元請ファイルの入力金額は正しいか？</t>
    <phoneticPr fontId="5"/>
  </si>
  <si>
    <r>
      <t>受発注で補償費の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カショウ</t>
    </rPh>
    <phoneticPr fontId="5"/>
  </si>
  <si>
    <t>現場管理費</t>
    <rPh sb="0" eb="2">
      <t>ゲンバ</t>
    </rPh>
    <rPh sb="2" eb="4">
      <t>カンリ</t>
    </rPh>
    <rPh sb="4" eb="5">
      <t>ヒ</t>
    </rPh>
    <phoneticPr fontId="5"/>
  </si>
  <si>
    <r>
      <t>発注ファイル及び元請ファイルの現場管理費が</t>
    </r>
    <r>
      <rPr>
        <b/>
        <sz val="11"/>
        <rFont val="ＭＳ Ｐゴシック"/>
        <family val="3"/>
        <charset val="128"/>
      </rPr>
      <t>未入力</t>
    </r>
    <r>
      <rPr>
        <sz val="11"/>
        <rFont val="ＭＳ Ｐゴシック"/>
        <family val="3"/>
        <charset val="128"/>
      </rPr>
      <t/>
    </r>
    <rPh sb="15" eb="17">
      <t>ゲンバ</t>
    </rPh>
    <rPh sb="17" eb="20">
      <t>カンリヒ</t>
    </rPh>
    <phoneticPr fontId="5"/>
  </si>
  <si>
    <t>現場管理費を入力して下さい</t>
    <rPh sb="0" eb="2">
      <t>ゲンバ</t>
    </rPh>
    <rPh sb="2" eb="5">
      <t>カンリヒ</t>
    </rPh>
    <phoneticPr fontId="5"/>
  </si>
  <si>
    <r>
      <t>発注ファイルの現場管理費が</t>
    </r>
    <r>
      <rPr>
        <b/>
        <sz val="11"/>
        <rFont val="ＭＳ Ｐゴシック"/>
        <family val="3"/>
        <charset val="128"/>
      </rPr>
      <t>未入力</t>
    </r>
    <r>
      <rPr>
        <sz val="11"/>
        <rFont val="ＭＳ Ｐゴシック"/>
        <family val="3"/>
        <charset val="128"/>
      </rPr>
      <t/>
    </r>
    <rPh sb="7" eb="9">
      <t>ゲンバ</t>
    </rPh>
    <rPh sb="9" eb="12">
      <t>カンリヒ</t>
    </rPh>
    <phoneticPr fontId="5"/>
  </si>
  <si>
    <r>
      <t>元請ファイルの現場管理費が</t>
    </r>
    <r>
      <rPr>
        <b/>
        <sz val="11"/>
        <rFont val="ＭＳ Ｐゴシック"/>
        <family val="3"/>
        <charset val="128"/>
      </rPr>
      <t>未入力</t>
    </r>
    <r>
      <rPr>
        <sz val="11"/>
        <rFont val="ＭＳ Ｐゴシック"/>
        <family val="3"/>
        <charset val="128"/>
      </rPr>
      <t/>
    </r>
    <rPh sb="0" eb="2">
      <t>モトウケ</t>
    </rPh>
    <rPh sb="7" eb="9">
      <t>ゲンバ</t>
    </rPh>
    <rPh sb="9" eb="12">
      <t>カンリヒ</t>
    </rPh>
    <phoneticPr fontId="5"/>
  </si>
  <si>
    <r>
      <t>発注ファイルの現場管理費が</t>
    </r>
    <r>
      <rPr>
        <b/>
        <sz val="11"/>
        <rFont val="ＭＳ Ｐゴシック"/>
        <family val="3"/>
        <charset val="128"/>
      </rPr>
      <t>「0」</t>
    </r>
    <rPh sb="7" eb="9">
      <t>ゲンバ</t>
    </rPh>
    <rPh sb="9" eb="12">
      <t>カンリヒ</t>
    </rPh>
    <phoneticPr fontId="5"/>
  </si>
  <si>
    <r>
      <t>元請ファイルの現場管理費が</t>
    </r>
    <r>
      <rPr>
        <b/>
        <sz val="11"/>
        <rFont val="ＭＳ Ｐゴシック"/>
        <family val="3"/>
        <charset val="128"/>
      </rPr>
      <t>「0」</t>
    </r>
    <rPh sb="0" eb="2">
      <t>モトウケ</t>
    </rPh>
    <rPh sb="7" eb="9">
      <t>ゲンバ</t>
    </rPh>
    <rPh sb="9" eb="12">
      <t>カンリヒ</t>
    </rPh>
    <phoneticPr fontId="5"/>
  </si>
  <si>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カダイ</t>
    </rPh>
    <phoneticPr fontId="5"/>
  </si>
  <si>
    <t>プレキャストスノーシェッド（ｽﾉｰｼｪｯﾄﾞ部材の製品費）</t>
    <rPh sb="22" eb="24">
      <t>ブザイ</t>
    </rPh>
    <rPh sb="25" eb="27">
      <t>セイヒン</t>
    </rPh>
    <rPh sb="27" eb="28">
      <t>ヒ</t>
    </rPh>
    <phoneticPr fontId="4"/>
  </si>
  <si>
    <t>プレキャストボックスカルバート（RCﾌﾟﾚｷｬｽﾄﾎﾞｯｸｽｶﾙﾊﾞｰﾄの規格を超えるもの）</t>
    <rPh sb="37" eb="39">
      <t>キカク</t>
    </rPh>
    <rPh sb="40" eb="41">
      <t>コ</t>
    </rPh>
    <phoneticPr fontId="4"/>
  </si>
  <si>
    <t>検査路（鋼橋積算の製作品）</t>
    <rPh sb="0" eb="2">
      <t>ケンサ</t>
    </rPh>
    <rPh sb="2" eb="3">
      <t>ロ</t>
    </rPh>
    <rPh sb="4" eb="6">
      <t>コウキョウ</t>
    </rPh>
    <rPh sb="6" eb="8">
      <t>セキサン</t>
    </rPh>
    <rPh sb="9" eb="11">
      <t>セイサク</t>
    </rPh>
    <rPh sb="11" eb="12">
      <t>ヒン</t>
    </rPh>
    <phoneticPr fontId="4"/>
  </si>
  <si>
    <t>検査路（ＰＣ橋積算の製品（購入品））</t>
    <rPh sb="0" eb="2">
      <t>ケンサ</t>
    </rPh>
    <rPh sb="2" eb="3">
      <t>ロ</t>
    </rPh>
    <rPh sb="6" eb="7">
      <t>バシ</t>
    </rPh>
    <rPh sb="7" eb="9">
      <t>セキサン</t>
    </rPh>
    <rPh sb="10" eb="11">
      <t>セイ</t>
    </rPh>
    <rPh sb="11" eb="12">
      <t>ヒン</t>
    </rPh>
    <rPh sb="13" eb="15">
      <t>コウニュウ</t>
    </rPh>
    <rPh sb="15" eb="16">
      <t>ヒン</t>
    </rPh>
    <phoneticPr fontId="4"/>
  </si>
  <si>
    <t>排水装置（鋼橋積算の製作品）</t>
    <rPh sb="0" eb="2">
      <t>ハイスイ</t>
    </rPh>
    <rPh sb="2" eb="4">
      <t>ソウチ</t>
    </rPh>
    <rPh sb="5" eb="7">
      <t>コウキョウ</t>
    </rPh>
    <rPh sb="7" eb="9">
      <t>セキサン</t>
    </rPh>
    <rPh sb="10" eb="12">
      <t>セイサク</t>
    </rPh>
    <rPh sb="12" eb="13">
      <t>ヒン</t>
    </rPh>
    <phoneticPr fontId="4"/>
  </si>
  <si>
    <t>排水装置（ＰＣ橋積算の製品（購入品））</t>
    <rPh sb="0" eb="2">
      <t>ハイスイ</t>
    </rPh>
    <rPh sb="2" eb="4">
      <t>ソウチ</t>
    </rPh>
    <rPh sb="7" eb="8">
      <t>バシ</t>
    </rPh>
    <rPh sb="8" eb="10">
      <t>セキサン</t>
    </rPh>
    <rPh sb="11" eb="13">
      <t>セイヒン</t>
    </rPh>
    <rPh sb="14" eb="16">
      <t>コウニュウ</t>
    </rPh>
    <rPh sb="16" eb="17">
      <t>シナ</t>
    </rPh>
    <phoneticPr fontId="4"/>
  </si>
  <si>
    <t>ゴム支承（鋼橋積算の製作品）</t>
    <rPh sb="2" eb="4">
      <t>シショウ</t>
    </rPh>
    <phoneticPr fontId="4"/>
  </si>
  <si>
    <t>ゴム支承（ＰＣ橋積算）</t>
    <rPh sb="2" eb="4">
      <t>シショウ</t>
    </rPh>
    <rPh sb="7" eb="8">
      <t>ハシ</t>
    </rPh>
    <phoneticPr fontId="4"/>
  </si>
  <si>
    <t>鋼製支承（鋼橋積算）</t>
    <rPh sb="0" eb="2">
      <t>コウセイ</t>
    </rPh>
    <rPh sb="2" eb="4">
      <t>シショウ</t>
    </rPh>
    <phoneticPr fontId="4"/>
  </si>
  <si>
    <t>鋼製支承（ＰＣ橋積算）</t>
    <rPh sb="2" eb="4">
      <t>シショウ</t>
    </rPh>
    <rPh sb="7" eb="8">
      <t>ハシ</t>
    </rPh>
    <phoneticPr fontId="4"/>
  </si>
  <si>
    <t>ジョイント（ＰＣ橋積算の製品（購入品））</t>
    <rPh sb="8" eb="9">
      <t>ハシ</t>
    </rPh>
    <phoneticPr fontId="4"/>
  </si>
  <si>
    <t>高欄（鋼橋積算の製作品）</t>
    <rPh sb="0" eb="2">
      <t>コウラン</t>
    </rPh>
    <phoneticPr fontId="4"/>
  </si>
  <si>
    <t>高欄（ＰＣ橋積算の製品（購入品））</t>
    <rPh sb="0" eb="2">
      <t>コウラン</t>
    </rPh>
    <rPh sb="5" eb="6">
      <t>ハシ</t>
    </rPh>
    <phoneticPr fontId="4"/>
  </si>
  <si>
    <t>門扉等の「等」にあたるもの（品目欄の右に具体名を入力してください。）</t>
    <rPh sb="0" eb="1">
      <t>モン</t>
    </rPh>
    <rPh sb="1" eb="2">
      <t>トビラ</t>
    </rPh>
    <rPh sb="2" eb="3">
      <t>トウ</t>
    </rPh>
    <rPh sb="5" eb="6">
      <t>トウ</t>
    </rPh>
    <rPh sb="20" eb="22">
      <t>グタイ</t>
    </rPh>
    <rPh sb="22" eb="23">
      <t>メイ</t>
    </rPh>
    <phoneticPr fontId="5"/>
  </si>
  <si>
    <t>その他（上記リスト以外は、品目欄の右に具体名を入力してください。）</t>
    <rPh sb="2" eb="3">
      <t>タ</t>
    </rPh>
    <rPh sb="4" eb="6">
      <t>ジョウキ</t>
    </rPh>
    <rPh sb="9" eb="11">
      <t>イガイ</t>
    </rPh>
    <rPh sb="13" eb="15">
      <t>ヒンモク</t>
    </rPh>
    <rPh sb="15" eb="16">
      <t>ラン</t>
    </rPh>
    <rPh sb="17" eb="18">
      <t>ミギ</t>
    </rPh>
    <rPh sb="19" eb="22">
      <t>グタイメイ</t>
    </rPh>
    <rPh sb="23" eb="25">
      <t>ニュウリョク</t>
    </rPh>
    <phoneticPr fontId="5"/>
  </si>
  <si>
    <t>遮音壁（工場で製作し、現地で設置した場合）</t>
    <rPh sb="0" eb="3">
      <t>シャオンヘキ</t>
    </rPh>
    <rPh sb="4" eb="6">
      <t>コウジョウ</t>
    </rPh>
    <rPh sb="7" eb="9">
      <t>セイサク</t>
    </rPh>
    <rPh sb="11" eb="13">
      <t>ゲンチ</t>
    </rPh>
    <rPh sb="14" eb="16">
      <t>セッチ</t>
    </rPh>
    <rPh sb="18" eb="20">
      <t>バアイ</t>
    </rPh>
    <phoneticPr fontId="4"/>
  </si>
  <si>
    <t>デザイン高欄（工場で製作し、現地で設置した場合）</t>
    <rPh sb="4" eb="6">
      <t>コウラン</t>
    </rPh>
    <phoneticPr fontId="4"/>
  </si>
  <si>
    <t>デザイン照明ポール（工場で製作し、現地で設置した場合）</t>
    <rPh sb="4" eb="6">
      <t>ショウメイ</t>
    </rPh>
    <phoneticPr fontId="4"/>
  </si>
  <si>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カダイ</t>
    </rPh>
    <phoneticPr fontId="5"/>
  </si>
  <si>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カショウ</t>
    </rPh>
    <phoneticPr fontId="5"/>
  </si>
  <si>
    <t>共通仮設費（率分）</t>
    <rPh sb="0" eb="2">
      <t>キョウツウ</t>
    </rPh>
    <rPh sb="2" eb="5">
      <t>カセツヒ</t>
    </rPh>
    <rPh sb="6" eb="7">
      <t>リツ</t>
    </rPh>
    <rPh sb="7" eb="8">
      <t>ブン</t>
    </rPh>
    <phoneticPr fontId="5"/>
  </si>
  <si>
    <r>
      <t>発注ファイル及び元請ファイルの共通仮設費（率分）が</t>
    </r>
    <r>
      <rPr>
        <b/>
        <sz val="11"/>
        <rFont val="ＭＳ Ｐゴシック"/>
        <family val="3"/>
        <charset val="128"/>
      </rPr>
      <t>未入力</t>
    </r>
    <r>
      <rPr>
        <sz val="11"/>
        <rFont val="ＭＳ Ｐゴシック"/>
        <family val="3"/>
        <charset val="128"/>
      </rPr>
      <t/>
    </r>
    <rPh sb="15" eb="20">
      <t>キョウツウカセツヒ</t>
    </rPh>
    <rPh sb="21" eb="22">
      <t>リツ</t>
    </rPh>
    <rPh sb="22" eb="23">
      <t>ブン</t>
    </rPh>
    <phoneticPr fontId="5"/>
  </si>
  <si>
    <t>4　その他
（下記に具体的に入力してください。）</t>
    <rPh sb="7" eb="9">
      <t>カキ</t>
    </rPh>
    <phoneticPr fontId="5"/>
  </si>
  <si>
    <t>千葉県</t>
    <rPh sb="0" eb="3">
      <t>チバケン</t>
    </rPh>
    <phoneticPr fontId="5"/>
  </si>
  <si>
    <t>埼玉県</t>
    <rPh sb="0" eb="3">
      <t>サイタマケン</t>
    </rPh>
    <phoneticPr fontId="5"/>
  </si>
  <si>
    <t>静岡県</t>
    <rPh sb="0" eb="3">
      <t>シズオカケン</t>
    </rPh>
    <phoneticPr fontId="5"/>
  </si>
  <si>
    <t>新潟県</t>
    <rPh sb="0" eb="3">
      <t>ニイガタケン</t>
    </rPh>
    <phoneticPr fontId="5"/>
  </si>
  <si>
    <t>岡山県</t>
    <rPh sb="0" eb="3">
      <t>オカヤマケン</t>
    </rPh>
    <phoneticPr fontId="5"/>
  </si>
  <si>
    <t>北海道</t>
  </si>
  <si>
    <t>青森県</t>
  </si>
  <si>
    <t>岩手県</t>
  </si>
  <si>
    <t>秋田県</t>
  </si>
  <si>
    <t>福島県</t>
  </si>
  <si>
    <t>栃木県</t>
  </si>
  <si>
    <t>群馬県</t>
  </si>
  <si>
    <t>埼玉県</t>
  </si>
  <si>
    <t>千葉県</t>
  </si>
  <si>
    <t>神奈川県</t>
  </si>
  <si>
    <t>富山県</t>
  </si>
  <si>
    <t>石川県</t>
  </si>
  <si>
    <t>長野県</t>
  </si>
  <si>
    <t>岐阜県</t>
  </si>
  <si>
    <t>愛知県</t>
  </si>
  <si>
    <t>滋賀県</t>
  </si>
  <si>
    <t>大阪府</t>
  </si>
  <si>
    <t>兵庫県</t>
  </si>
  <si>
    <t>奈良県</t>
  </si>
  <si>
    <t>和歌山県</t>
  </si>
  <si>
    <t>岡山県</t>
  </si>
  <si>
    <t>広島県</t>
  </si>
  <si>
    <t>山口県</t>
  </si>
  <si>
    <t>香川県</t>
  </si>
  <si>
    <t>愛媛県</t>
  </si>
  <si>
    <t>高知県</t>
  </si>
  <si>
    <t>福岡県</t>
  </si>
  <si>
    <t>長崎県</t>
  </si>
  <si>
    <t>熊本県</t>
  </si>
  <si>
    <t>大分県</t>
  </si>
  <si>
    <t>宮崎県</t>
  </si>
  <si>
    <t>鹿児島県</t>
  </si>
  <si>
    <t>山形県</t>
  </si>
  <si>
    <t>茨城県</t>
  </si>
  <si>
    <t>新潟県</t>
  </si>
  <si>
    <t>福井県</t>
  </si>
  <si>
    <t>山梨県</t>
  </si>
  <si>
    <r>
      <t>発注ファイル及び元請ファイルの別途調査等工事価格が</t>
    </r>
    <r>
      <rPr>
        <b/>
        <sz val="11"/>
        <rFont val="ＭＳ Ｐゴシック"/>
        <family val="3"/>
        <charset val="128"/>
      </rPr>
      <t>未入力</t>
    </r>
    <r>
      <rPr>
        <sz val="11"/>
        <rFont val="ＭＳ Ｐゴシック"/>
        <family val="3"/>
        <charset val="128"/>
      </rPr>
      <t/>
    </r>
    <rPh sb="15" eb="17">
      <t>ベット</t>
    </rPh>
    <rPh sb="17" eb="20">
      <t>チョウサナド</t>
    </rPh>
    <rPh sb="20" eb="22">
      <t>コウジ</t>
    </rPh>
    <rPh sb="22" eb="24">
      <t>カカク</t>
    </rPh>
    <phoneticPr fontId="5"/>
  </si>
  <si>
    <t>1.発注ファイル：「工事費」シートに戻り、別途調査等工事価格を入力して下さい。（費用がない場合は0を入力して下さい）
2.元請ファイル：「工事費」シートで別途調査等工事価格を入力して下さい。（費用がない場合は0を入力して下さい）</t>
    <phoneticPr fontId="5"/>
  </si>
  <si>
    <r>
      <t>発注ファイルの別途調査等工事価格が</t>
    </r>
    <r>
      <rPr>
        <b/>
        <sz val="11"/>
        <rFont val="ＭＳ Ｐゴシック"/>
        <family val="3"/>
        <charset val="128"/>
      </rPr>
      <t>未入力</t>
    </r>
    <r>
      <rPr>
        <sz val="11"/>
        <rFont val="ＭＳ Ｐゴシック"/>
        <family val="3"/>
        <charset val="128"/>
      </rPr>
      <t/>
    </r>
    <rPh sb="7" eb="9">
      <t>ベット</t>
    </rPh>
    <rPh sb="9" eb="12">
      <t>チョウサナド</t>
    </rPh>
    <rPh sb="12" eb="14">
      <t>コウジ</t>
    </rPh>
    <rPh sb="14" eb="16">
      <t>カカク</t>
    </rPh>
    <phoneticPr fontId="5"/>
  </si>
  <si>
    <r>
      <t>元請ファイルの別途調査等工事価格が</t>
    </r>
    <r>
      <rPr>
        <b/>
        <sz val="11"/>
        <rFont val="ＭＳ Ｐゴシック"/>
        <family val="3"/>
        <charset val="128"/>
      </rPr>
      <t>未入力</t>
    </r>
    <r>
      <rPr>
        <sz val="11"/>
        <rFont val="ＭＳ Ｐゴシック"/>
        <family val="3"/>
        <charset val="128"/>
      </rPr>
      <t/>
    </r>
    <rPh sb="0" eb="2">
      <t>モトウケ</t>
    </rPh>
    <rPh sb="7" eb="9">
      <t>ベット</t>
    </rPh>
    <rPh sb="9" eb="12">
      <t>チョウサナド</t>
    </rPh>
    <rPh sb="12" eb="14">
      <t>コウジ</t>
    </rPh>
    <rPh sb="14" eb="16">
      <t>カカク</t>
    </rPh>
    <phoneticPr fontId="5"/>
  </si>
  <si>
    <t>工事名</t>
    <rPh sb="0" eb="3">
      <t>コウジメイ</t>
    </rPh>
    <phoneticPr fontId="5"/>
  </si>
  <si>
    <t>工事情報</t>
  </si>
  <si>
    <t>(</t>
    <phoneticPr fontId="6"/>
  </si>
  <si>
    <r>
      <t>発注ファイルの直接工事費が</t>
    </r>
    <r>
      <rPr>
        <b/>
        <sz val="11"/>
        <rFont val="ＭＳ Ｐゴシック"/>
        <family val="3"/>
        <charset val="128"/>
      </rPr>
      <t>「０」</t>
    </r>
    <r>
      <rPr>
        <sz val="11"/>
        <rFont val="ＭＳ Ｐゴシック"/>
        <family val="3"/>
        <charset val="128"/>
      </rPr>
      <t/>
    </r>
    <phoneticPr fontId="5"/>
  </si>
  <si>
    <r>
      <t>元請ファイルの直接工事費が</t>
    </r>
    <r>
      <rPr>
        <b/>
        <sz val="11"/>
        <rFont val="ＭＳ Ｐゴシック"/>
        <family val="3"/>
        <charset val="128"/>
      </rPr>
      <t>「０」</t>
    </r>
    <r>
      <rPr>
        <sz val="11"/>
        <rFont val="ＭＳ Ｐゴシック"/>
        <family val="3"/>
        <charset val="128"/>
      </rPr>
      <t/>
    </r>
    <rPh sb="0" eb="2">
      <t>モトウケ</t>
    </rPh>
    <phoneticPr fontId="5"/>
  </si>
  <si>
    <t>1.金額は「千円」単位での入力になっているか？
2.発注ファイルの入力金額は正しいか？
3.元請ファイルの入力金額(材料費、労務費、機械器具等損料等）は正しいか？</t>
    <rPh sb="9" eb="11">
      <t>タンイ</t>
    </rPh>
    <rPh sb="13" eb="15">
      <t>ニュウリョク</t>
    </rPh>
    <rPh sb="38" eb="39">
      <t>タダ</t>
    </rPh>
    <rPh sb="53" eb="55">
      <t>ニュウリョク</t>
    </rPh>
    <rPh sb="55" eb="57">
      <t>キンガク</t>
    </rPh>
    <rPh sb="76" eb="77">
      <t>タダ</t>
    </rPh>
    <phoneticPr fontId="5"/>
  </si>
  <si>
    <t>材料費</t>
    <rPh sb="0" eb="3">
      <t>ザイリョウヒ</t>
    </rPh>
    <phoneticPr fontId="5"/>
  </si>
  <si>
    <r>
      <t>発注ファイル及び元請ファイルの材料費が</t>
    </r>
    <r>
      <rPr>
        <b/>
        <sz val="11"/>
        <rFont val="ＭＳ Ｐゴシック"/>
        <family val="3"/>
        <charset val="128"/>
      </rPr>
      <t>未入力</t>
    </r>
    <r>
      <rPr>
        <sz val="11"/>
        <rFont val="ＭＳ Ｐゴシック"/>
        <family val="3"/>
        <charset val="128"/>
      </rPr>
      <t/>
    </r>
    <rPh sb="15" eb="17">
      <t>ザイリョウ</t>
    </rPh>
    <phoneticPr fontId="5"/>
  </si>
  <si>
    <t>材料費を入力して下さい</t>
    <rPh sb="0" eb="3">
      <t>ザイリョウヒ</t>
    </rPh>
    <rPh sb="8" eb="9">
      <t>クダ</t>
    </rPh>
    <phoneticPr fontId="5"/>
  </si>
  <si>
    <r>
      <t>発注ファイルの材料費が</t>
    </r>
    <r>
      <rPr>
        <b/>
        <sz val="11"/>
        <rFont val="ＭＳ Ｐゴシック"/>
        <family val="3"/>
        <charset val="128"/>
      </rPr>
      <t>未入力</t>
    </r>
    <r>
      <rPr>
        <sz val="11"/>
        <rFont val="ＭＳ Ｐゴシック"/>
        <family val="3"/>
        <charset val="128"/>
      </rPr>
      <t/>
    </r>
    <rPh sb="7" eb="9">
      <t>ザイリョウ</t>
    </rPh>
    <phoneticPr fontId="5"/>
  </si>
  <si>
    <t>確認欄</t>
    <rPh sb="0" eb="2">
      <t>カクニン</t>
    </rPh>
    <rPh sb="2" eb="3">
      <t>ラン</t>
    </rPh>
    <phoneticPr fontId="5"/>
  </si>
  <si>
    <t>※</t>
    <phoneticPr fontId="5"/>
  </si>
  <si>
    <t>E</t>
    <phoneticPr fontId="5"/>
  </si>
  <si>
    <t>単価（円）</t>
  </si>
  <si>
    <t>品目</t>
  </si>
  <si>
    <t>（具体名）</t>
    <rPh sb="1" eb="3">
      <t>グタイ</t>
    </rPh>
    <rPh sb="3" eb="4">
      <t>メイ</t>
    </rPh>
    <phoneticPr fontId="5"/>
  </si>
  <si>
    <t>不明の
とき選択</t>
    <rPh sb="0" eb="2">
      <t>フメイ</t>
    </rPh>
    <rPh sb="6" eb="8">
      <t>センタク</t>
    </rPh>
    <phoneticPr fontId="5"/>
  </si>
  <si>
    <t>○</t>
  </si>
  <si>
    <t>工事種別</t>
    <rPh sb="0" eb="2">
      <t>コウジ</t>
    </rPh>
    <rPh sb="2" eb="4">
      <t>シュベツ</t>
    </rPh>
    <phoneticPr fontId="5"/>
  </si>
  <si>
    <t>難易度</t>
    <rPh sb="0" eb="3">
      <t>ナンイド</t>
    </rPh>
    <phoneticPr fontId="5"/>
  </si>
  <si>
    <t>所管名２</t>
    <rPh sb="0" eb="2">
      <t>ショカン</t>
    </rPh>
    <rPh sb="2" eb="3">
      <t>メイ</t>
    </rPh>
    <phoneticPr fontId="5"/>
  </si>
  <si>
    <t>契約方式【総価契約単価合意方式の場合】</t>
    <rPh sb="0" eb="2">
      <t>ケイヤク</t>
    </rPh>
    <rPh sb="2" eb="4">
      <t>ホウシキ</t>
    </rPh>
    <phoneticPr fontId="5"/>
  </si>
  <si>
    <t>工種</t>
    <rPh sb="0" eb="2">
      <t>コウシュ</t>
    </rPh>
    <phoneticPr fontId="5"/>
  </si>
  <si>
    <t>20市</t>
    <rPh sb="2" eb="3">
      <t>シ</t>
    </rPh>
    <phoneticPr fontId="5"/>
  </si>
  <si>
    <t>予備</t>
    <rPh sb="0" eb="2">
      <t>ヨビ</t>
    </rPh>
    <phoneticPr fontId="4"/>
  </si>
  <si>
    <t>確認欄</t>
    <rPh sb="0" eb="2">
      <t>カクニン</t>
    </rPh>
    <rPh sb="2" eb="3">
      <t>ラン</t>
    </rPh>
    <phoneticPr fontId="4"/>
  </si>
  <si>
    <t>未入力
確認</t>
    <rPh sb="0" eb="3">
      <t>ミニュウリョク</t>
    </rPh>
    <rPh sb="4" eb="6">
      <t>カクニン</t>
    </rPh>
    <phoneticPr fontId="5"/>
  </si>
  <si>
    <t>未入力確認（D～I列）</t>
    <rPh sb="0" eb="3">
      <t>ミニュウリョク</t>
    </rPh>
    <rPh sb="3" eb="5">
      <t>カクニン</t>
    </rPh>
    <rPh sb="9" eb="10">
      <t>レツ</t>
    </rPh>
    <phoneticPr fontId="5"/>
  </si>
  <si>
    <t>未入力確認（K～P列）</t>
    <rPh sb="0" eb="3">
      <t>ミニュウリョク</t>
    </rPh>
    <rPh sb="3" eb="5">
      <t>カクニン</t>
    </rPh>
    <rPh sb="9" eb="10">
      <t>レツ</t>
    </rPh>
    <phoneticPr fontId="5"/>
  </si>
  <si>
    <t>未入力確認欄</t>
    <rPh sb="0" eb="3">
      <t>ミニュウリョク</t>
    </rPh>
    <rPh sb="3" eb="5">
      <t>カクニン</t>
    </rPh>
    <rPh sb="5" eb="6">
      <t>ラン</t>
    </rPh>
    <phoneticPr fontId="4"/>
  </si>
  <si>
    <t>エラー確認欄</t>
    <rPh sb="3" eb="5">
      <t>カクニン</t>
    </rPh>
    <rPh sb="5" eb="6">
      <t>ラン</t>
    </rPh>
    <phoneticPr fontId="4"/>
  </si>
  <si>
    <t>中間技術検査の回数</t>
    <rPh sb="0" eb="2">
      <t>チュウカン</t>
    </rPh>
    <rPh sb="2" eb="4">
      <t>ギジュツ</t>
    </rPh>
    <rPh sb="4" eb="6">
      <t>ケンサ</t>
    </rPh>
    <rPh sb="7" eb="9">
      <t>カイスウ</t>
    </rPh>
    <phoneticPr fontId="5"/>
  </si>
  <si>
    <t>回</t>
    <rPh sb="0" eb="1">
      <t>カイ</t>
    </rPh>
    <phoneticPr fontId="5"/>
  </si>
  <si>
    <t>既済部分検査の回数</t>
    <rPh sb="0" eb="2">
      <t>キサイ</t>
    </rPh>
    <rPh sb="2" eb="4">
      <t>ブブン</t>
    </rPh>
    <rPh sb="4" eb="6">
      <t>ケンサ</t>
    </rPh>
    <rPh sb="7" eb="9">
      <t>カイスウ</t>
    </rPh>
    <phoneticPr fontId="5"/>
  </si>
  <si>
    <t>工事成績評点</t>
    <rPh sb="0" eb="2">
      <t>コウジ</t>
    </rPh>
    <rPh sb="2" eb="4">
      <t>セイセキ</t>
    </rPh>
    <rPh sb="4" eb="6">
      <t>ヒョウテン</t>
    </rPh>
    <phoneticPr fontId="5"/>
  </si>
  <si>
    <t>評定点計</t>
    <rPh sb="0" eb="2">
      <t>ヒョウテイ</t>
    </rPh>
    <rPh sb="2" eb="3">
      <t>テン</t>
    </rPh>
    <rPh sb="3" eb="4">
      <t>ケイ</t>
    </rPh>
    <phoneticPr fontId="5"/>
  </si>
  <si>
    <t>点</t>
    <rPh sb="0" eb="1">
      <t>テン</t>
    </rPh>
    <phoneticPr fontId="5"/>
  </si>
  <si>
    <t>法令遵守等</t>
    <rPh sb="0" eb="2">
      <t>ホウレイ</t>
    </rPh>
    <rPh sb="2" eb="4">
      <t>ジュンシュ</t>
    </rPh>
    <rPh sb="4" eb="5">
      <t>トウ</t>
    </rPh>
    <phoneticPr fontId="5"/>
  </si>
  <si>
    <t>最終工事請負金額（消費税込）</t>
    <rPh sb="0" eb="2">
      <t>サイシュウ</t>
    </rPh>
    <rPh sb="2" eb="4">
      <t>コウジ</t>
    </rPh>
    <rPh sb="4" eb="6">
      <t>ウケオイ</t>
    </rPh>
    <rPh sb="6" eb="8">
      <t>キンガク</t>
    </rPh>
    <phoneticPr fontId="5"/>
  </si>
  <si>
    <t>造園</t>
  </si>
  <si>
    <t>機械機具等損料</t>
    <rPh sb="0" eb="2">
      <t>キカイ</t>
    </rPh>
    <rPh sb="2" eb="5">
      <t>キグナド</t>
    </rPh>
    <rPh sb="5" eb="7">
      <t>ソンリョウ</t>
    </rPh>
    <phoneticPr fontId="5"/>
  </si>
  <si>
    <r>
      <t>発注ファイル及び元請ファイルの機械器具等損料が</t>
    </r>
    <r>
      <rPr>
        <b/>
        <sz val="11"/>
        <rFont val="ＭＳ Ｐゴシック"/>
        <family val="3"/>
        <charset val="128"/>
      </rPr>
      <t>未入力</t>
    </r>
    <r>
      <rPr>
        <sz val="11"/>
        <rFont val="ＭＳ Ｐゴシック"/>
        <family val="3"/>
        <charset val="128"/>
      </rPr>
      <t/>
    </r>
    <rPh sb="15" eb="17">
      <t>キカイ</t>
    </rPh>
    <rPh sb="17" eb="19">
      <t>キグ</t>
    </rPh>
    <rPh sb="19" eb="20">
      <t>トウ</t>
    </rPh>
    <rPh sb="20" eb="22">
      <t>ソンリョウ</t>
    </rPh>
    <phoneticPr fontId="5"/>
  </si>
  <si>
    <t>機械器具等損料を入力して下さい</t>
    <rPh sb="0" eb="2">
      <t>キカイ</t>
    </rPh>
    <rPh sb="2" eb="4">
      <t>キグ</t>
    </rPh>
    <rPh sb="4" eb="5">
      <t>トウ</t>
    </rPh>
    <rPh sb="5" eb="7">
      <t>ソンリョウ</t>
    </rPh>
    <phoneticPr fontId="5"/>
  </si>
  <si>
    <r>
      <t>発注ファイルの機械器具等損料が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</si>
  <si>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t>メールアドレス</t>
    <phoneticPr fontId="5"/>
  </si>
  <si>
    <t>a.</t>
  </si>
  <si>
    <t>b.</t>
  </si>
  <si>
    <t>工種コード</t>
  </si>
  <si>
    <t>一般事項</t>
  </si>
  <si>
    <t>日</t>
  </si>
  <si>
    <t>想定した作業不能の要因</t>
  </si>
  <si>
    <t xml:space="preserve">   =&gt;</t>
    <phoneticPr fontId="5"/>
  </si>
  <si>
    <t xml:space="preserve">   =&gt;</t>
    <phoneticPr fontId="5"/>
  </si>
  <si>
    <r>
      <t>下請工事価格に対して、外注一般管理費等の金額（下請工事価格から工事原価を差し引いた金額）が適切か確認してください。
外注一般管理費等の金額が過大、過小となっている場合は、入力間違いがないか確認してください。</t>
    </r>
    <r>
      <rPr>
        <sz val="12"/>
        <rFont val="ＭＳ Ｐゴシック"/>
        <family val="3"/>
        <charset val="128"/>
      </rPr>
      <t xml:space="preserve">
　</t>
    </r>
    <r>
      <rPr>
        <sz val="12"/>
        <color indexed="12"/>
        <rFont val="ＭＳ Ｐゴシック"/>
        <family val="3"/>
        <charset val="128"/>
      </rPr>
      <t>・直接工事費、間接工事費の計上漏れや二次下請費用の計上漏れ等があると外注一般管理費が大きくなります。
　・二重計上や入力単位（円単位入力）の誤入力があると外注一般管理費が小さく（マイナス）なります。</t>
    </r>
    <phoneticPr fontId="5"/>
  </si>
  <si>
    <t>黄色塗りつぶし部分：入力必要箇所</t>
  </si>
  <si>
    <t>緑色塗りつぶし部分：黄色セルの入力に伴う自動計算（入力不可）</t>
  </si>
  <si>
    <t>その他の部分：シートの書換等を防ぐ為、入力不可にしている。</t>
  </si>
  <si>
    <t>パスワードが要求される場合の対処方法：</t>
  </si>
  <si>
    <t>入力箇所が間違っているためであり、指定箇所（黄色塗りつぶし部分）に入力して下さい。</t>
  </si>
  <si>
    <r>
      <t>元請ファイルの機械器具等損料が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</si>
  <si>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r>
      <t>発注ファイルの機械器具等損料が</t>
    </r>
    <r>
      <rPr>
        <b/>
        <sz val="11"/>
        <rFont val="ＭＳ Ｐゴシック"/>
        <family val="3"/>
        <charset val="128"/>
      </rPr>
      <t>「0」</t>
    </r>
    <rPh sb="7" eb="9">
      <t>キカイ</t>
    </rPh>
    <rPh sb="9" eb="11">
      <t>キグ</t>
    </rPh>
    <rPh sb="11" eb="12">
      <t>トウ</t>
    </rPh>
    <rPh sb="12" eb="14">
      <t>ソンリョウ</t>
    </rPh>
    <phoneticPr fontId="5"/>
  </si>
  <si>
    <t>　　・未入力の件数及び、エラー（Ｅ）の件数が「0」になっていることを確認してください。</t>
    <rPh sb="3" eb="6">
      <t>ミニュウリョク</t>
    </rPh>
    <rPh sb="7" eb="9">
      <t>ケンスウ</t>
    </rPh>
    <rPh sb="9" eb="10">
      <t>オヨ</t>
    </rPh>
    <rPh sb="19" eb="21">
      <t>ケンスウ</t>
    </rPh>
    <rPh sb="34" eb="36">
      <t>カクニン</t>
    </rPh>
    <phoneticPr fontId="5"/>
  </si>
  <si>
    <t>(２)</t>
  </si>
  <si>
    <t>(５)</t>
  </si>
  <si>
    <t>２)</t>
    <phoneticPr fontId="5"/>
  </si>
  <si>
    <t>３)</t>
    <phoneticPr fontId="5"/>
  </si>
  <si>
    <t>Ⅰ</t>
    <phoneticPr fontId="4"/>
  </si>
  <si>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カショウ</t>
    </rPh>
    <phoneticPr fontId="5"/>
  </si>
  <si>
    <t>工事価格</t>
    <phoneticPr fontId="5"/>
  </si>
  <si>
    <r>
      <t>発注ファイル及び元請ファイルの工事価格が</t>
    </r>
    <r>
      <rPr>
        <b/>
        <sz val="11"/>
        <rFont val="ＭＳ Ｐゴシック"/>
        <family val="3"/>
        <charset val="128"/>
      </rPr>
      <t>未入力</t>
    </r>
    <r>
      <rPr>
        <sz val="11"/>
        <rFont val="ＭＳ Ｐゴシック"/>
        <family val="3"/>
        <charset val="128"/>
      </rPr>
      <t/>
    </r>
    <rPh sb="15" eb="17">
      <t>コウジ</t>
    </rPh>
    <rPh sb="17" eb="19">
      <t>カカク</t>
    </rPh>
    <phoneticPr fontId="5"/>
  </si>
  <si>
    <r>
      <t>発注ファイルの工事価格が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</si>
  <si>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技術管理費（積上げ）の内訳</t>
    <rPh sb="0" eb="2">
      <t>ギジュツ</t>
    </rPh>
    <rPh sb="2" eb="5">
      <t>カンリヒ</t>
    </rPh>
    <rPh sb="6" eb="8">
      <t>ツミア</t>
    </rPh>
    <rPh sb="11" eb="12">
      <t>ウチ</t>
    </rPh>
    <rPh sb="12" eb="13">
      <t>ヤク</t>
    </rPh>
    <phoneticPr fontId="4"/>
  </si>
  <si>
    <t>技術管理費（積上げ分）に費用計上がある場合は内訳を入力してください。</t>
    <rPh sb="0" eb="2">
      <t>ギジュツ</t>
    </rPh>
    <rPh sb="2" eb="5">
      <t>カンリヒ</t>
    </rPh>
    <rPh sb="6" eb="8">
      <t>ツミア</t>
    </rPh>
    <rPh sb="9" eb="10">
      <t>ブン</t>
    </rPh>
    <rPh sb="12" eb="14">
      <t>ヒヨウ</t>
    </rPh>
    <rPh sb="14" eb="16">
      <t>ケイジョウ</t>
    </rPh>
    <rPh sb="19" eb="21">
      <t>バアイ</t>
    </rPh>
    <rPh sb="22" eb="24">
      <t>ウチワケ</t>
    </rPh>
    <rPh sb="25" eb="27">
      <t>ニュウリョク</t>
    </rPh>
    <phoneticPr fontId="5"/>
  </si>
  <si>
    <t>1　伐採補償</t>
    <phoneticPr fontId="5"/>
  </si>
  <si>
    <t>2　伐採控除補償</t>
    <phoneticPr fontId="5"/>
  </si>
  <si>
    <t>3　取得補償</t>
    <phoneticPr fontId="5"/>
  </si>
  <si>
    <t>工事名</t>
    <rPh sb="0" eb="2">
      <t>コウジ</t>
    </rPh>
    <rPh sb="2" eb="3">
      <t>メイ</t>
    </rPh>
    <phoneticPr fontId="5"/>
  </si>
  <si>
    <t>①直接工事費</t>
    <phoneticPr fontId="5"/>
  </si>
  <si>
    <t>共通仮設費積算対象金額</t>
    <phoneticPr fontId="5"/>
  </si>
  <si>
    <t>YESの場合：作業日数</t>
    <phoneticPr fontId="6"/>
  </si>
  <si>
    <t>鋼製スリット</t>
    <rPh sb="0" eb="2">
      <t>コウセイ</t>
    </rPh>
    <phoneticPr fontId="5"/>
  </si>
  <si>
    <t>　　　　・入力金額に間違いがない場合は、金額差の理由を「確認結果」欄に入力してください。</t>
    <rPh sb="5" eb="7">
      <t>ニュウリョク</t>
    </rPh>
    <rPh sb="7" eb="9">
      <t>キンガク</t>
    </rPh>
    <rPh sb="10" eb="12">
      <t>マチガ</t>
    </rPh>
    <rPh sb="16" eb="18">
      <t>バアイ</t>
    </rPh>
    <rPh sb="20" eb="22">
      <t>キンガク</t>
    </rPh>
    <rPh sb="22" eb="23">
      <t>サ</t>
    </rPh>
    <rPh sb="24" eb="26">
      <t>リユウ</t>
    </rPh>
    <rPh sb="28" eb="30">
      <t>カクニン</t>
    </rPh>
    <rPh sb="30" eb="32">
      <t>ケッカ</t>
    </rPh>
    <rPh sb="33" eb="34">
      <t>ラン</t>
    </rPh>
    <rPh sb="35" eb="37">
      <t>ニュウリョク</t>
    </rPh>
    <phoneticPr fontId="5"/>
  </si>
  <si>
    <t>下記より理由を選択しﾘｽﾄで入力　　　　　　　　　　　　　　      理由１：</t>
    <rPh sb="14" eb="16">
      <t>ニュウリョク</t>
    </rPh>
    <rPh sb="36" eb="38">
      <t>リユウ</t>
    </rPh>
    <phoneticPr fontId="6"/>
  </si>
  <si>
    <t>静岡県</t>
  </si>
  <si>
    <t>三重県</t>
  </si>
  <si>
    <t>積算方式</t>
    <rPh sb="0" eb="2">
      <t>セキサン</t>
    </rPh>
    <rPh sb="2" eb="4">
      <t>ホウシキ</t>
    </rPh>
    <phoneticPr fontId="5"/>
  </si>
  <si>
    <t>061：静岡市</t>
    <rPh sb="4" eb="6">
      <t>シズオカ</t>
    </rPh>
    <phoneticPr fontId="5"/>
  </si>
  <si>
    <t>高速</t>
    <rPh sb="0" eb="2">
      <t>コウソク</t>
    </rPh>
    <phoneticPr fontId="5"/>
  </si>
  <si>
    <t>1.発注者側で積算計上がない場合は、元請ファイルに費用は計上できません。
2.元請側の自主工場製作品の場合は、材料費に計上してください</t>
    <rPh sb="2" eb="5">
      <t>ハッチュウシャ</t>
    </rPh>
    <rPh sb="5" eb="6">
      <t>ガワ</t>
    </rPh>
    <rPh sb="39" eb="41">
      <t>モトウケ</t>
    </rPh>
    <rPh sb="43" eb="45">
      <t>ジシュ</t>
    </rPh>
    <rPh sb="45" eb="47">
      <t>コウジョウ</t>
    </rPh>
    <rPh sb="51" eb="53">
      <t>バアイ</t>
    </rPh>
    <phoneticPr fontId="5"/>
  </si>
  <si>
    <t>別途調査等工事価格</t>
    <phoneticPr fontId="5"/>
  </si>
  <si>
    <t>要確認79</t>
    <phoneticPr fontId="5"/>
  </si>
  <si>
    <r>
      <t>発注ファイルの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</si>
  <si>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要確認80</t>
    <phoneticPr fontId="5"/>
  </si>
  <si>
    <r>
      <t>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</si>
  <si>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要確認81</t>
    <phoneticPr fontId="5"/>
  </si>
  <si>
    <t>区分</t>
    <rPh sb="0" eb="2">
      <t>クブン</t>
    </rPh>
    <phoneticPr fontId="5"/>
  </si>
  <si>
    <t>外注先</t>
    <rPh sb="0" eb="3">
      <t>ガイチュウサキ</t>
    </rPh>
    <phoneticPr fontId="5"/>
  </si>
  <si>
    <t>有無</t>
    <rPh sb="0" eb="2">
      <t>ウム</t>
    </rPh>
    <phoneticPr fontId="5"/>
  </si>
  <si>
    <t>技術管理調査項目</t>
    <rPh sb="0" eb="2">
      <t>ギジュツ</t>
    </rPh>
    <rPh sb="2" eb="4">
      <t>カンリ</t>
    </rPh>
    <rPh sb="4" eb="6">
      <t>チョウサ</t>
    </rPh>
    <rPh sb="6" eb="8">
      <t>コウモク</t>
    </rPh>
    <phoneticPr fontId="5"/>
  </si>
  <si>
    <r>
      <t xml:space="preserve">受発注で直接工事費の金額差が大きい
</t>
    </r>
    <r>
      <rPr>
        <b/>
        <sz val="11"/>
        <rFont val="ＭＳ Ｐゴシック"/>
        <family val="3"/>
        <charset val="128"/>
      </rPr>
      <t>（元請ファイル実績額の過小）</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カショウ</t>
    </rPh>
    <phoneticPr fontId="5"/>
  </si>
  <si>
    <t>4時間/日未満</t>
    <rPh sb="1" eb="3">
      <t>ジカン</t>
    </rPh>
    <rPh sb="4" eb="5">
      <t>ニチ</t>
    </rPh>
    <rPh sb="5" eb="7">
      <t>ミマン</t>
    </rPh>
    <phoneticPr fontId="5"/>
  </si>
  <si>
    <t>4時間/日以上～7時間/日以下</t>
    <rPh sb="1" eb="3">
      <t>ジカン</t>
    </rPh>
    <rPh sb="4" eb="5">
      <t>ニチ</t>
    </rPh>
    <rPh sb="5" eb="7">
      <t>イジョウ</t>
    </rPh>
    <rPh sb="9" eb="11">
      <t>ジカン</t>
    </rPh>
    <rPh sb="12" eb="13">
      <t>ニチ</t>
    </rPh>
    <rPh sb="13" eb="15">
      <t>イカ</t>
    </rPh>
    <phoneticPr fontId="5"/>
  </si>
  <si>
    <t>7時間を超え7.5時間/日以下</t>
    <rPh sb="1" eb="3">
      <t>ジカン</t>
    </rPh>
    <rPh sb="4" eb="5">
      <t>コ</t>
    </rPh>
    <rPh sb="9" eb="11">
      <t>ジカン</t>
    </rPh>
    <rPh sb="12" eb="13">
      <t>ニチ</t>
    </rPh>
    <rPh sb="13" eb="15">
      <t>イカ</t>
    </rPh>
    <phoneticPr fontId="5"/>
  </si>
  <si>
    <t>要確認1</t>
    <rPh sb="0" eb="1">
      <t>ヨウ</t>
    </rPh>
    <rPh sb="1" eb="3">
      <t>カクニン</t>
    </rPh>
    <phoneticPr fontId="5"/>
  </si>
  <si>
    <t>要確認2</t>
    <phoneticPr fontId="5"/>
  </si>
  <si>
    <t>要確認3</t>
    <phoneticPr fontId="5"/>
  </si>
  <si>
    <t>要確認4</t>
    <phoneticPr fontId="5"/>
  </si>
  <si>
    <t>要確認5</t>
    <phoneticPr fontId="5"/>
  </si>
  <si>
    <t>要確認6</t>
    <phoneticPr fontId="5"/>
  </si>
  <si>
    <t>要確認7</t>
    <phoneticPr fontId="5"/>
  </si>
  <si>
    <t>要確認8</t>
    <phoneticPr fontId="5"/>
  </si>
  <si>
    <t>要確認9</t>
    <phoneticPr fontId="5"/>
  </si>
  <si>
    <t>要確認10</t>
    <phoneticPr fontId="5"/>
  </si>
  <si>
    <t>要確認11</t>
    <phoneticPr fontId="5"/>
  </si>
  <si>
    <t>要確認12</t>
    <phoneticPr fontId="5"/>
  </si>
  <si>
    <t>要確認13</t>
    <phoneticPr fontId="5"/>
  </si>
  <si>
    <t>要確認14</t>
    <phoneticPr fontId="5"/>
  </si>
  <si>
    <t>要確認15</t>
    <phoneticPr fontId="5"/>
  </si>
  <si>
    <t>＊日数入力箇所に該当がない場合は０を入力してください。</t>
    <rPh sb="1" eb="3">
      <t>ニッスウ</t>
    </rPh>
    <rPh sb="3" eb="5">
      <t>ニュウリョク</t>
    </rPh>
    <rPh sb="5" eb="7">
      <t>カショ</t>
    </rPh>
    <rPh sb="8" eb="10">
      <t>ガイトウ</t>
    </rPh>
    <rPh sb="13" eb="15">
      <t>バアイ</t>
    </rPh>
    <rPh sb="18" eb="20">
      <t>ニュウリョク</t>
    </rPh>
    <phoneticPr fontId="4"/>
  </si>
  <si>
    <t>*千円単位で入力し、千円以下は四捨五入すること。</t>
    <rPh sb="1" eb="3">
      <t>センエン</t>
    </rPh>
    <rPh sb="3" eb="5">
      <t>タンイ</t>
    </rPh>
    <rPh sb="6" eb="8">
      <t>ニュウリョク</t>
    </rPh>
    <rPh sb="10" eb="12">
      <t>センエン</t>
    </rPh>
    <rPh sb="12" eb="14">
      <t>イカ</t>
    </rPh>
    <rPh sb="15" eb="19">
      <t>シシャゴニュウ</t>
    </rPh>
    <phoneticPr fontId="5"/>
  </si>
  <si>
    <t>金額(千円)
（数量×単価）</t>
    <rPh sb="8" eb="10">
      <t>スウリョウ</t>
    </rPh>
    <rPh sb="11" eb="13">
      <t>タンカ</t>
    </rPh>
    <phoneticPr fontId="5"/>
  </si>
  <si>
    <t>単位</t>
  </si>
  <si>
    <t>同規格の既製品を使用した場合の材料費を下表に入力</t>
  </si>
  <si>
    <t>費　　目</t>
    <rPh sb="0" eb="1">
      <t>ヒ</t>
    </rPh>
    <rPh sb="3" eb="4">
      <t>メ</t>
    </rPh>
    <phoneticPr fontId="5"/>
  </si>
  <si>
    <t>発注ファイル</t>
    <rPh sb="0" eb="2">
      <t>ハッチュウ</t>
    </rPh>
    <phoneticPr fontId="5"/>
  </si>
  <si>
    <t>入力の確認</t>
    <rPh sb="0" eb="2">
      <t>ニュウリョク</t>
    </rPh>
    <rPh sb="3" eb="5">
      <t>カクニン</t>
    </rPh>
    <phoneticPr fontId="5"/>
  </si>
  <si>
    <t>『工事費』シートの『材料費』</t>
    <rPh sb="10" eb="12">
      <t>ザイリョウ</t>
    </rPh>
    <rPh sb="12" eb="13">
      <t>ヒ</t>
    </rPh>
    <phoneticPr fontId="5"/>
  </si>
  <si>
    <r>
      <t>受発注で補償費の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カダイ</t>
    </rPh>
    <phoneticPr fontId="5"/>
  </si>
  <si>
    <t>ｼｰﾄ名</t>
    <rPh sb="3" eb="4">
      <t>メイ</t>
    </rPh>
    <phoneticPr fontId="5"/>
  </si>
  <si>
    <t>未入力の件数</t>
    <rPh sb="0" eb="3">
      <t>ミニュウリョク</t>
    </rPh>
    <rPh sb="4" eb="6">
      <t>ケンスウ</t>
    </rPh>
    <phoneticPr fontId="5"/>
  </si>
  <si>
    <t>１．受発注者の入力金額対比チェック</t>
    <rPh sb="2" eb="5">
      <t>ジュハッチュウ</t>
    </rPh>
    <rPh sb="5" eb="6">
      <t>シャ</t>
    </rPh>
    <rPh sb="7" eb="9">
      <t>ニュウリョク</t>
    </rPh>
    <rPh sb="9" eb="11">
      <t>キンガク</t>
    </rPh>
    <rPh sb="11" eb="13">
      <t>タイヒ</t>
    </rPh>
    <phoneticPr fontId="5"/>
  </si>
  <si>
    <t>　(２)支給材料費</t>
    <rPh sb="4" eb="6">
      <t>シキュウ</t>
    </rPh>
    <rPh sb="6" eb="9">
      <t>ザイリョウヒ</t>
    </rPh>
    <phoneticPr fontId="5"/>
  </si>
  <si>
    <t>　(５)無償貸付機械等評価額</t>
    <phoneticPr fontId="5"/>
  </si>
  <si>
    <r>
      <t>1.発注ファイル
　①「工事費」シートの「工事価格」は最終工事価格での入力となっているか？
　②金額は「千円」単位での入力になっているか？
2.元請ファイル
　①「一般事項」シートの「最終工事請負金額」の入力に間違いはないか？（工事費シートの工事価格は、一般事項シートで入力した「最終工事請負金額（消費税込） - 内消費税相当額」が自動計算されます。）
　②金額は「千円」単位での入力になっているか？
3.</t>
    </r>
    <r>
      <rPr>
        <b/>
        <sz val="10"/>
        <rFont val="ＭＳ Ｐゴシック"/>
        <family val="3"/>
        <charset val="128"/>
      </rPr>
      <t>低入札等の場合はその旨を「確認結果」欄に理由を記入</t>
    </r>
    <r>
      <rPr>
        <sz val="10"/>
        <rFont val="ＭＳ Ｐゴシック"/>
        <family val="3"/>
        <charset val="128"/>
      </rPr>
      <t>してください。
　例）低入札工事
　</t>
    </r>
    <r>
      <rPr>
        <b/>
        <sz val="10"/>
        <rFont val="ＭＳ Ｐゴシック"/>
        <family val="3"/>
        <charset val="128"/>
      </rPr>
      <t>注）落札率が90％未満で低入札工事ではない場合も「確認結果」欄にその旨を記入</t>
    </r>
    <r>
      <rPr>
        <sz val="10"/>
        <rFont val="ＭＳ Ｐゴシック"/>
        <family val="3"/>
        <charset val="128"/>
      </rPr>
      <t>してください。
　例）確認済み、低入札工事ではない</t>
    </r>
    <rPh sb="2" eb="4">
      <t>ハッチュウ</t>
    </rPh>
    <rPh sb="12" eb="15">
      <t>コウジヒ</t>
    </rPh>
    <rPh sb="21" eb="23">
      <t>コウジ</t>
    </rPh>
    <rPh sb="23" eb="25">
      <t>カカク</t>
    </rPh>
    <rPh sb="27" eb="29">
      <t>サイシュウ</t>
    </rPh>
    <rPh sb="29" eb="31">
      <t>コウジ</t>
    </rPh>
    <rPh sb="31" eb="33">
      <t>カカク</t>
    </rPh>
    <rPh sb="35" eb="37">
      <t>ニュウリョク</t>
    </rPh>
    <rPh sb="48" eb="50">
      <t>キンガク</t>
    </rPh>
    <rPh sb="73" eb="75">
      <t>モトウケ</t>
    </rPh>
    <rPh sb="83" eb="85">
      <t>イッパン</t>
    </rPh>
    <rPh sb="85" eb="87">
      <t>ジコウ</t>
    </rPh>
    <rPh sb="93" eb="95">
      <t>サイシュウ</t>
    </rPh>
    <rPh sb="95" eb="97">
      <t>コウジ</t>
    </rPh>
    <rPh sb="97" eb="99">
      <t>ウケオイ</t>
    </rPh>
    <rPh sb="99" eb="101">
      <t>キンガク</t>
    </rPh>
    <rPh sb="103" eb="105">
      <t>ニュウリョク</t>
    </rPh>
    <rPh sb="106" eb="108">
      <t>マチガ</t>
    </rPh>
    <rPh sb="128" eb="130">
      <t>イッパン</t>
    </rPh>
    <rPh sb="130" eb="132">
      <t>ジコウ</t>
    </rPh>
    <rPh sb="136" eb="138">
      <t>ニュウリョク</t>
    </rPh>
    <rPh sb="167" eb="169">
      <t>ジドウ</t>
    </rPh>
    <rPh sb="169" eb="171">
      <t>ケイサン</t>
    </rPh>
    <rPh sb="208" eb="209">
      <t>トウ</t>
    </rPh>
    <rPh sb="239" eb="240">
      <t>レイ</t>
    </rPh>
    <rPh sb="241" eb="242">
      <t>テイ</t>
    </rPh>
    <rPh sb="242" eb="244">
      <t>ニュウサツ</t>
    </rPh>
    <rPh sb="244" eb="246">
      <t>コウジ</t>
    </rPh>
    <rPh sb="248" eb="249">
      <t>チュウ</t>
    </rPh>
    <rPh sb="250" eb="252">
      <t>ラクサツ</t>
    </rPh>
    <rPh sb="252" eb="253">
      <t>リツ</t>
    </rPh>
    <rPh sb="257" eb="259">
      <t>ミマン</t>
    </rPh>
    <rPh sb="260" eb="261">
      <t>テイ</t>
    </rPh>
    <rPh sb="261" eb="263">
      <t>ニュウサツ</t>
    </rPh>
    <rPh sb="263" eb="265">
      <t>コウジ</t>
    </rPh>
    <rPh sb="269" eb="271">
      <t>バアイ</t>
    </rPh>
    <rPh sb="282" eb="283">
      <t>ムネ</t>
    </rPh>
    <rPh sb="284" eb="286">
      <t>キニュウ</t>
    </rPh>
    <rPh sb="295" eb="296">
      <t>レイ</t>
    </rPh>
    <rPh sb="297" eb="299">
      <t>カクニン</t>
    </rPh>
    <rPh sb="299" eb="300">
      <t>ズ</t>
    </rPh>
    <rPh sb="302" eb="303">
      <t>テイ</t>
    </rPh>
    <rPh sb="303" eb="305">
      <t>ニュウサツ</t>
    </rPh>
    <rPh sb="305" eb="307">
      <t>コウジ</t>
    </rPh>
    <phoneticPr fontId="5"/>
  </si>
  <si>
    <t>工事請負金額（消費税込）</t>
    <rPh sb="0" eb="2">
      <t>コウジ</t>
    </rPh>
    <rPh sb="2" eb="4">
      <t>ウケオイ</t>
    </rPh>
    <rPh sb="4" eb="6">
      <t>キンガク</t>
    </rPh>
    <phoneticPr fontId="5"/>
  </si>
  <si>
    <t>要確認96</t>
    <phoneticPr fontId="5"/>
  </si>
  <si>
    <t>要確認97</t>
    <phoneticPr fontId="5"/>
  </si>
  <si>
    <r>
      <t xml:space="preserve">補正係数・区分
</t>
    </r>
    <r>
      <rPr>
        <sz val="10"/>
        <rFont val="ＭＳ Ｐゴシック"/>
        <family val="3"/>
        <charset val="128"/>
      </rPr>
      <t>(補正有の場合に入力）</t>
    </r>
    <rPh sb="0" eb="2">
      <t>ホセイ</t>
    </rPh>
    <rPh sb="2" eb="4">
      <t>ケイスウ</t>
    </rPh>
    <rPh sb="5" eb="7">
      <t>クブン</t>
    </rPh>
    <rPh sb="9" eb="11">
      <t>ホセイ</t>
    </rPh>
    <rPh sb="11" eb="12">
      <t>アリ</t>
    </rPh>
    <rPh sb="13" eb="15">
      <t>バアイ</t>
    </rPh>
    <rPh sb="16" eb="18">
      <t>ニュウリョク</t>
    </rPh>
    <phoneticPr fontId="5"/>
  </si>
  <si>
    <t>(４)</t>
    <phoneticPr fontId="5"/>
  </si>
  <si>
    <t>機器間接費</t>
    <phoneticPr fontId="4"/>
  </si>
  <si>
    <t>１)</t>
    <phoneticPr fontId="5"/>
  </si>
  <si>
    <r>
      <t xml:space="preserve">技術者間接費
</t>
    </r>
    <r>
      <rPr>
        <sz val="10"/>
        <rFont val="ＭＳ Ｐゴシック"/>
        <family val="3"/>
        <charset val="128"/>
      </rPr>
      <t>（電気通信設備工事の場合）</t>
    </r>
    <rPh sb="0" eb="3">
      <t>ギジュツシャ</t>
    </rPh>
    <rPh sb="3" eb="6">
      <t>カンセツヒ</t>
    </rPh>
    <rPh sb="8" eb="10">
      <t>デンキ</t>
    </rPh>
    <rPh sb="10" eb="12">
      <t>ツウシン</t>
    </rPh>
    <rPh sb="12" eb="14">
      <t>セツビ</t>
    </rPh>
    <rPh sb="14" eb="16">
      <t>コウジ</t>
    </rPh>
    <rPh sb="17" eb="19">
      <t>バアイ</t>
    </rPh>
    <phoneticPr fontId="5"/>
  </si>
  <si>
    <t>スライドの有無</t>
    <rPh sb="5" eb="7">
      <t>ウム</t>
    </rPh>
    <phoneticPr fontId="5"/>
  </si>
  <si>
    <t>スライドの種類</t>
    <rPh sb="5" eb="7">
      <t>シュルイ</t>
    </rPh>
    <phoneticPr fontId="5"/>
  </si>
  <si>
    <t>単品スライド</t>
    <rPh sb="0" eb="2">
      <t>タンピン</t>
    </rPh>
    <phoneticPr fontId="5"/>
  </si>
  <si>
    <t>全体スライド</t>
    <rPh sb="0" eb="2">
      <t>ゼンタイ</t>
    </rPh>
    <phoneticPr fontId="5"/>
  </si>
  <si>
    <t>Ⅱ</t>
    <phoneticPr fontId="4"/>
  </si>
  <si>
    <t>金　　額</t>
    <rPh sb="0" eb="1">
      <t>キン</t>
    </rPh>
    <rPh sb="3" eb="4">
      <t>ガク</t>
    </rPh>
    <phoneticPr fontId="5"/>
  </si>
  <si>
    <t>①出来高額</t>
    <rPh sb="1" eb="4">
      <t>デキダカ</t>
    </rPh>
    <rPh sb="4" eb="5">
      <t>ガク</t>
    </rPh>
    <phoneticPr fontId="4"/>
  </si>
  <si>
    <t>②残工事額</t>
    <rPh sb="1" eb="2">
      <t>ザン</t>
    </rPh>
    <rPh sb="2" eb="4">
      <t>コウジ</t>
    </rPh>
    <rPh sb="4" eb="5">
      <t>ガク</t>
    </rPh>
    <phoneticPr fontId="4"/>
  </si>
  <si>
    <t>基準日
【全体・インフレスライドの場合】</t>
    <rPh sb="0" eb="3">
      <t>キジュンビ</t>
    </rPh>
    <rPh sb="5" eb="7">
      <t>ゼンタイ</t>
    </rPh>
    <rPh sb="17" eb="19">
      <t>バアイ</t>
    </rPh>
    <phoneticPr fontId="5"/>
  </si>
  <si>
    <t>単品スライド・全体スライド併用</t>
    <rPh sb="0" eb="2">
      <t>タンピン</t>
    </rPh>
    <rPh sb="7" eb="9">
      <t>ゼンタイ</t>
    </rPh>
    <rPh sb="13" eb="15">
      <t>ヘイヨウ</t>
    </rPh>
    <phoneticPr fontId="5"/>
  </si>
  <si>
    <t>単品スライド・インフレスライド併用</t>
    <rPh sb="0" eb="2">
      <t>タンピン</t>
    </rPh>
    <rPh sb="15" eb="17">
      <t>ヘイヨウ</t>
    </rPh>
    <phoneticPr fontId="5"/>
  </si>
  <si>
    <t>⑤スライド額</t>
    <rPh sb="5" eb="6">
      <t>ガク</t>
    </rPh>
    <phoneticPr fontId="4"/>
  </si>
  <si>
    <r>
      <t>全体スライド、インフレスライド適用工事のみ記入。</t>
    </r>
    <r>
      <rPr>
        <sz val="10"/>
        <rFont val="ＭＳ Ｐゴシック"/>
        <family val="3"/>
        <charset val="128"/>
      </rPr>
      <t xml:space="preserve">
注）消費税抜きで記入してください。</t>
    </r>
    <rPh sb="0" eb="2">
      <t>ゼンタイ</t>
    </rPh>
    <rPh sb="15" eb="17">
      <t>テキヨウ</t>
    </rPh>
    <rPh sb="17" eb="19">
      <t>コウジ</t>
    </rPh>
    <rPh sb="21" eb="23">
      <t>キニュウ</t>
    </rPh>
    <rPh sb="25" eb="26">
      <t>チュウ</t>
    </rPh>
    <rPh sb="27" eb="29">
      <t>ショウヒ</t>
    </rPh>
    <rPh sb="29" eb="30">
      <t>ゼイ</t>
    </rPh>
    <rPh sb="30" eb="31">
      <t>ヌ</t>
    </rPh>
    <rPh sb="33" eb="35">
      <t>キニュウ</t>
    </rPh>
    <phoneticPr fontId="5"/>
  </si>
  <si>
    <t>※総価契約単価合意方式の場合、合意前の額を記入</t>
    <rPh sb="1" eb="2">
      <t>ソウ</t>
    </rPh>
    <rPh sb="2" eb="3">
      <t>カ</t>
    </rPh>
    <rPh sb="3" eb="5">
      <t>ケイヤク</t>
    </rPh>
    <rPh sb="5" eb="7">
      <t>タンカ</t>
    </rPh>
    <rPh sb="7" eb="9">
      <t>ゴウイ</t>
    </rPh>
    <rPh sb="9" eb="11">
      <t>ホウシキ</t>
    </rPh>
    <rPh sb="12" eb="14">
      <t>バアイ</t>
    </rPh>
    <rPh sb="15" eb="17">
      <t>ゴウイ</t>
    </rPh>
    <rPh sb="17" eb="18">
      <t>マエ</t>
    </rPh>
    <rPh sb="19" eb="20">
      <t>ガク</t>
    </rPh>
    <rPh sb="21" eb="23">
      <t>キニュウ</t>
    </rPh>
    <phoneticPr fontId="4"/>
  </si>
  <si>
    <t>Ⅳ</t>
    <phoneticPr fontId="4"/>
  </si>
  <si>
    <t>Ⅴ</t>
    <phoneticPr fontId="4"/>
  </si>
  <si>
    <t>1：一般道路</t>
    <rPh sb="2" eb="4">
      <t>イッパン</t>
    </rPh>
    <rPh sb="4" eb="6">
      <t>ドウロ</t>
    </rPh>
    <phoneticPr fontId="4"/>
  </si>
  <si>
    <t>2：自動車専用道路</t>
    <rPh sb="2" eb="5">
      <t>ジドウシャ</t>
    </rPh>
    <rPh sb="5" eb="7">
      <t>センヨウ</t>
    </rPh>
    <rPh sb="7" eb="9">
      <t>ドウロ</t>
    </rPh>
    <phoneticPr fontId="4"/>
  </si>
  <si>
    <t>積算に用いた緊急時補正率</t>
    <rPh sb="0" eb="2">
      <t>セキサン</t>
    </rPh>
    <rPh sb="3" eb="4">
      <t>モチ</t>
    </rPh>
    <rPh sb="6" eb="9">
      <t>キンキュウジ</t>
    </rPh>
    <rPh sb="9" eb="11">
      <t>ホセイ</t>
    </rPh>
    <rPh sb="11" eb="12">
      <t>リツ</t>
    </rPh>
    <phoneticPr fontId="5"/>
  </si>
  <si>
    <t>％）</t>
    <phoneticPr fontId="5"/>
  </si>
  <si>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4" eb="5">
      <t>コト</t>
    </rPh>
    <rPh sb="8" eb="9">
      <t>メイ</t>
    </rPh>
    <phoneticPr fontId="5"/>
  </si>
  <si>
    <t>発注ファイル
（積算額）</t>
    <phoneticPr fontId="5"/>
  </si>
  <si>
    <t>元請ファイル
（実績額）</t>
    <rPh sb="0" eb="2">
      <t>モトウケ</t>
    </rPh>
    <phoneticPr fontId="5"/>
  </si>
  <si>
    <t>確認内容</t>
    <rPh sb="0" eb="2">
      <t>カクニン</t>
    </rPh>
    <rPh sb="2" eb="4">
      <t>ナイヨウ</t>
    </rPh>
    <phoneticPr fontId="5"/>
  </si>
  <si>
    <t>工事請負金額</t>
    <rPh sb="0" eb="2">
      <t>コウジ</t>
    </rPh>
    <rPh sb="2" eb="4">
      <t>ウケオイ</t>
    </rPh>
    <rPh sb="4" eb="6">
      <t>キンガク</t>
    </rPh>
    <phoneticPr fontId="5"/>
  </si>
  <si>
    <t>発注形態</t>
    <rPh sb="0" eb="2">
      <t>ハッチュウ</t>
    </rPh>
    <rPh sb="2" eb="4">
      <t>ケイタイ</t>
    </rPh>
    <phoneticPr fontId="4"/>
  </si>
  <si>
    <t>評定点合計</t>
    <rPh sb="0" eb="2">
      <t>ヒョウテイ</t>
    </rPh>
    <rPh sb="2" eb="3">
      <t>テン</t>
    </rPh>
    <rPh sb="3" eb="5">
      <t>ゴウケイ</t>
    </rPh>
    <phoneticPr fontId="5"/>
  </si>
  <si>
    <t>1.金額は「千円」単位での入力になっているか？
2.発注ファイルの入力金額は正しいか？
3.元請ファイルの入力金額は正しいか？</t>
    <phoneticPr fontId="5"/>
  </si>
  <si>
    <t>要確認82</t>
    <phoneticPr fontId="5"/>
  </si>
  <si>
    <t>支給品(機器)相当額</t>
    <rPh sb="0" eb="3">
      <t>シキュウヒン</t>
    </rPh>
    <rPh sb="4" eb="6">
      <t>キキ</t>
    </rPh>
    <rPh sb="7" eb="9">
      <t>ソウトウ</t>
    </rPh>
    <rPh sb="9" eb="10">
      <t>ガク</t>
    </rPh>
    <phoneticPr fontId="4"/>
  </si>
  <si>
    <t>支給品（機器）</t>
    <rPh sb="0" eb="2">
      <t>シキュウ</t>
    </rPh>
    <rPh sb="2" eb="3">
      <t>ヒン</t>
    </rPh>
    <rPh sb="4" eb="6">
      <t>キキ</t>
    </rPh>
    <phoneticPr fontId="4"/>
  </si>
  <si>
    <t>発注形態を入力してください。
支給品(機器）がある場合の相当額を入力してください。</t>
    <rPh sb="0" eb="2">
      <t>ハッチュウ</t>
    </rPh>
    <rPh sb="2" eb="4">
      <t>ケイタイ</t>
    </rPh>
    <rPh sb="5" eb="7">
      <t>ニュウリョク</t>
    </rPh>
    <rPh sb="15" eb="18">
      <t>シキュウヒン</t>
    </rPh>
    <rPh sb="19" eb="21">
      <t>キキ</t>
    </rPh>
    <rPh sb="25" eb="27">
      <t>バアイ</t>
    </rPh>
    <rPh sb="28" eb="31">
      <t>ソウトウガク</t>
    </rPh>
    <rPh sb="32" eb="34">
      <t>ニュウリョク</t>
    </rPh>
    <phoneticPr fontId="4"/>
  </si>
  <si>
    <t>技術管理費</t>
    <rPh sb="0" eb="2">
      <t>ギジュツ</t>
    </rPh>
    <rPh sb="2" eb="5">
      <t>カンリヒ</t>
    </rPh>
    <phoneticPr fontId="5"/>
  </si>
  <si>
    <t>35％を超えるもの</t>
    <rPh sb="4" eb="5">
      <t>コ</t>
    </rPh>
    <phoneticPr fontId="5"/>
  </si>
  <si>
    <t>間接工事費</t>
  </si>
  <si>
    <t>運搬費</t>
  </si>
  <si>
    <t>準備費</t>
  </si>
  <si>
    <t>安全費</t>
  </si>
  <si>
    <t>役務費</t>
  </si>
  <si>
    <t>技術管理費</t>
  </si>
  <si>
    <t>営繕費</t>
  </si>
  <si>
    <t>その他</t>
  </si>
  <si>
    <t>共通仮設費の率分</t>
  </si>
  <si>
    <t>⑥</t>
    <phoneticPr fontId="5"/>
  </si>
  <si>
    <t>「一般事項」シートで工事請負金額を入力してください。入力することで「工事費」シートに工事価格が自動計算されます。</t>
    <rPh sb="1" eb="3">
      <t>イッパン</t>
    </rPh>
    <rPh sb="3" eb="5">
      <t>ジコウ</t>
    </rPh>
    <rPh sb="10" eb="12">
      <t>コウジ</t>
    </rPh>
    <rPh sb="12" eb="14">
      <t>ウケオイ</t>
    </rPh>
    <rPh sb="14" eb="16">
      <t>キンガク</t>
    </rPh>
    <rPh sb="26" eb="28">
      <t>ニュウリョク</t>
    </rPh>
    <rPh sb="34" eb="37">
      <t>コウジヒ</t>
    </rPh>
    <rPh sb="42" eb="44">
      <t>コウジ</t>
    </rPh>
    <rPh sb="44" eb="46">
      <t>カカク</t>
    </rPh>
    <rPh sb="47" eb="49">
      <t>ジドウ</t>
    </rPh>
    <rPh sb="49" eb="51">
      <t>ケイサン</t>
    </rPh>
    <phoneticPr fontId="5"/>
  </si>
  <si>
    <t>発注工事価格が元請工事価格より小さい
（落札率が100％以上）</t>
    <rPh sb="7" eb="9">
      <t>モトウケ</t>
    </rPh>
    <rPh sb="20" eb="22">
      <t>ラクサツ</t>
    </rPh>
    <rPh sb="22" eb="23">
      <t>リツ</t>
    </rPh>
    <rPh sb="28" eb="30">
      <t>イジョウ</t>
    </rPh>
    <phoneticPr fontId="5"/>
  </si>
  <si>
    <t>1.発注「工事費」シート：最終変更での金額入力となっているか？
2.元請「一般事項」シート：最終変更の請負金額となっているか？（請負金額から工事価格が自動計算されます）</t>
    <rPh sb="5" eb="8">
      <t>コウジヒ</t>
    </rPh>
    <rPh sb="15" eb="17">
      <t>ヘンコウ</t>
    </rPh>
    <rPh sb="19" eb="21">
      <t>キンガク</t>
    </rPh>
    <rPh sb="21" eb="23">
      <t>ニュウリョク</t>
    </rPh>
    <rPh sb="37" eb="39">
      <t>イッパン</t>
    </rPh>
    <rPh sb="39" eb="41">
      <t>ジコウ</t>
    </rPh>
    <rPh sb="46" eb="48">
      <t>サイシュウ</t>
    </rPh>
    <rPh sb="48" eb="50">
      <t>ヘンコウ</t>
    </rPh>
    <rPh sb="51" eb="53">
      <t>ウケオイ</t>
    </rPh>
    <rPh sb="53" eb="55">
      <t>キンガク</t>
    </rPh>
    <rPh sb="64" eb="66">
      <t>ウケオイ</t>
    </rPh>
    <rPh sb="66" eb="68">
      <t>キンガク</t>
    </rPh>
    <rPh sb="70" eb="72">
      <t>コウジ</t>
    </rPh>
    <rPh sb="72" eb="74">
      <t>カカク</t>
    </rPh>
    <rPh sb="75" eb="77">
      <t>ジドウ</t>
    </rPh>
    <rPh sb="77" eb="79">
      <t>ケイサン</t>
    </rPh>
    <phoneticPr fontId="5"/>
  </si>
  <si>
    <r>
      <t xml:space="preserve">受発注で直接工事費の金額差が大きい
</t>
    </r>
    <r>
      <rPr>
        <b/>
        <sz val="11"/>
        <rFont val="ＭＳ Ｐゴシック"/>
        <family val="3"/>
        <charset val="128"/>
      </rPr>
      <t>（元請ファイル実績額の過大）</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カダイ</t>
    </rPh>
    <phoneticPr fontId="5"/>
  </si>
  <si>
    <t>準備費</t>
    <phoneticPr fontId="5"/>
  </si>
  <si>
    <t>施工分散</t>
    <rPh sb="2" eb="4">
      <t>ブンサン</t>
    </rPh>
    <phoneticPr fontId="5"/>
  </si>
  <si>
    <r>
      <t>元請ファイルの工事価格が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</si>
  <si>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一般管理費等の前払い金支出割合</t>
    <rPh sb="0" eb="2">
      <t>イッパン</t>
    </rPh>
    <rPh sb="2" eb="5">
      <t>カンリヒ</t>
    </rPh>
    <rPh sb="5" eb="6">
      <t>トウ</t>
    </rPh>
    <rPh sb="7" eb="9">
      <t>マエバラ</t>
    </rPh>
    <rPh sb="10" eb="11">
      <t>キン</t>
    </rPh>
    <rPh sb="11" eb="13">
      <t>シシュツ</t>
    </rPh>
    <rPh sb="13" eb="15">
      <t>ワリアイ</t>
    </rPh>
    <phoneticPr fontId="5"/>
  </si>
  <si>
    <t>5％以下</t>
    <rPh sb="2" eb="4">
      <t>イカ</t>
    </rPh>
    <phoneticPr fontId="5"/>
  </si>
  <si>
    <t>5％を超え15％以下</t>
    <rPh sb="3" eb="4">
      <t>コ</t>
    </rPh>
    <rPh sb="8" eb="10">
      <t>イカ</t>
    </rPh>
    <phoneticPr fontId="5"/>
  </si>
  <si>
    <t>15％を超え25％以下</t>
    <rPh sb="4" eb="5">
      <t>コ</t>
    </rPh>
    <rPh sb="9" eb="11">
      <t>イカ</t>
    </rPh>
    <phoneticPr fontId="5"/>
  </si>
  <si>
    <t>25％を超え35％以下</t>
    <rPh sb="4" eb="5">
      <t>コ</t>
    </rPh>
    <rPh sb="9" eb="11">
      <t>イカ</t>
    </rPh>
    <phoneticPr fontId="5"/>
  </si>
  <si>
    <t>緊急工事</t>
  </si>
  <si>
    <t>区分</t>
    <phoneticPr fontId="5"/>
  </si>
  <si>
    <t>Y E S / N O</t>
    <phoneticPr fontId="5"/>
  </si>
  <si>
    <t>工事現場の50ｍ以内に人家（民家、商店、ビル等）が連なっている所があった。</t>
    <phoneticPr fontId="5"/>
  </si>
  <si>
    <t>地下埋設物の調査、移設、切り回し作業があった。</t>
    <phoneticPr fontId="5"/>
  </si>
  <si>
    <t>地元説明が何度も必要であった。</t>
    <phoneticPr fontId="5"/>
  </si>
  <si>
    <t>他官庁（警察・道路管理者等）他企業（NTT、電力会社等）との協議事項があり一般工事に比べ社員の拘束が多い工事であった。</t>
    <phoneticPr fontId="5"/>
  </si>
  <si>
    <t>2：補正なし</t>
    <rPh sb="2" eb="4">
      <t>ホセイ</t>
    </rPh>
    <phoneticPr fontId="4"/>
  </si>
  <si>
    <t>除雪工事補正係数</t>
    <rPh sb="0" eb="2">
      <t>ジョセツ</t>
    </rPh>
    <rPh sb="2" eb="4">
      <t>コウジ</t>
    </rPh>
    <rPh sb="4" eb="6">
      <t>ホセイ</t>
    </rPh>
    <rPh sb="6" eb="8">
      <t>ケイスウ</t>
    </rPh>
    <phoneticPr fontId="5"/>
  </si>
  <si>
    <t>1.金額は「千円」単位での入力になっているか？
2.発注ファイルの入力金額は正しいか？
3.元請ファイルの入力金額は正しいか？
　①二重計上はないか？
　②計上漏れはないか？</t>
    <rPh sb="78" eb="80">
      <t>ケイジョウ</t>
    </rPh>
    <rPh sb="80" eb="81">
      <t>モ</t>
    </rPh>
    <phoneticPr fontId="5"/>
  </si>
  <si>
    <t>無償貸付機械等評価額</t>
    <phoneticPr fontId="5"/>
  </si>
  <si>
    <r>
      <t>発注ファイルの無償貸付機械等評価額が</t>
    </r>
    <r>
      <rPr>
        <b/>
        <sz val="10"/>
        <rFont val="ＭＳ Ｐゴシック"/>
        <family val="3"/>
        <charset val="128"/>
      </rPr>
      <t>未入力</t>
    </r>
    <phoneticPr fontId="5"/>
  </si>
  <si>
    <t>ＰＣ床版</t>
    <rPh sb="2" eb="4">
      <t>ショウバン</t>
    </rPh>
    <phoneticPr fontId="4"/>
  </si>
  <si>
    <t>コンポ橋用のＰＣ板</t>
    <rPh sb="3" eb="4">
      <t>ハシ</t>
    </rPh>
    <rPh sb="4" eb="5">
      <t>ヨウ</t>
    </rPh>
    <rPh sb="8" eb="9">
      <t>バン</t>
    </rPh>
    <phoneticPr fontId="4"/>
  </si>
  <si>
    <t>大型分割プレキャストボックスカルバート
　全て（RCﾌﾟﾚｷｬｽﾄﾎﾞｯｸｽｶﾙﾊﾞｰﾄの規格を超えるもの）</t>
    <rPh sb="0" eb="2">
      <t>オオガタ</t>
    </rPh>
    <rPh sb="2" eb="4">
      <t>ブンカツ</t>
    </rPh>
    <rPh sb="21" eb="22">
      <t>スベ</t>
    </rPh>
    <phoneticPr fontId="4"/>
  </si>
  <si>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5"/>
  </si>
  <si>
    <t>　（３）現場管理費</t>
    <phoneticPr fontId="5"/>
  </si>
  <si>
    <t>要確認20</t>
    <phoneticPr fontId="5"/>
  </si>
  <si>
    <t>要確認21</t>
    <phoneticPr fontId="5"/>
  </si>
  <si>
    <t>615：下水道工事（４）管更生「その他工法」</t>
    <rPh sb="18" eb="19">
      <t>タ</t>
    </rPh>
    <rPh sb="19" eb="21">
      <t>コウホウ</t>
    </rPh>
    <phoneticPr fontId="5"/>
  </si>
  <si>
    <t>エラーを表しています。エラーをなくすように入力して下さい。</t>
  </si>
  <si>
    <t>注意事項</t>
    <rPh sb="0" eb="2">
      <t>チュウイ</t>
    </rPh>
    <rPh sb="2" eb="4">
      <t>ジコウ</t>
    </rPh>
    <phoneticPr fontId="5"/>
  </si>
  <si>
    <t xml:space="preserve">   =&gt;</t>
    <phoneticPr fontId="5"/>
  </si>
  <si>
    <t>施工場所コード</t>
    <phoneticPr fontId="5"/>
  </si>
  <si>
    <t>情報共有システム（ＡＳＰのみ）使用の有無</t>
    <phoneticPr fontId="5"/>
  </si>
  <si>
    <t>直接工事費</t>
    <rPh sb="0" eb="2">
      <t>チョクセツ</t>
    </rPh>
    <rPh sb="2" eb="5">
      <t>コウジヒ</t>
    </rPh>
    <phoneticPr fontId="5"/>
  </si>
  <si>
    <r>
      <t>発注ファイル及び元請ファイルの直接工事費が</t>
    </r>
    <r>
      <rPr>
        <b/>
        <sz val="11"/>
        <rFont val="ＭＳ Ｐゴシック"/>
        <family val="3"/>
        <charset val="128"/>
      </rPr>
      <t>未入力</t>
    </r>
    <r>
      <rPr>
        <sz val="11"/>
        <rFont val="ＭＳ Ｐゴシック"/>
        <family val="3"/>
        <charset val="128"/>
      </rPr>
      <t/>
    </r>
    <phoneticPr fontId="5"/>
  </si>
  <si>
    <t>総合評価　標準Ⅰ型</t>
    <rPh sb="0" eb="2">
      <t>ソウゴウ</t>
    </rPh>
    <rPh sb="2" eb="4">
      <t>ヒョウカ</t>
    </rPh>
    <rPh sb="5" eb="7">
      <t>ヒョウジュン</t>
    </rPh>
    <rPh sb="8" eb="9">
      <t>ガタ</t>
    </rPh>
    <phoneticPr fontId="5"/>
  </si>
  <si>
    <t>総合評価　標準Ⅱ型</t>
    <rPh sb="0" eb="2">
      <t>ソウゴウ</t>
    </rPh>
    <rPh sb="2" eb="4">
      <t>ヒョウカ</t>
    </rPh>
    <rPh sb="5" eb="7">
      <t>ヒョウジュン</t>
    </rPh>
    <rPh sb="8" eb="9">
      <t>ガタ</t>
    </rPh>
    <phoneticPr fontId="5"/>
  </si>
  <si>
    <t>総合評価　簡易型</t>
    <rPh sb="0" eb="2">
      <t>ソウゴウ</t>
    </rPh>
    <rPh sb="2" eb="4">
      <t>ヒョウカ</t>
    </rPh>
    <rPh sb="5" eb="7">
      <t>カンイ</t>
    </rPh>
    <rPh sb="7" eb="8">
      <t>ガタ</t>
    </rPh>
    <phoneticPr fontId="5"/>
  </si>
  <si>
    <t>未入力の件数</t>
    <rPh sb="4" eb="6">
      <t>ケンスウ</t>
    </rPh>
    <phoneticPr fontId="5"/>
  </si>
  <si>
    <t>チェック
結果</t>
    <rPh sb="5" eb="7">
      <t>ケッカ</t>
    </rPh>
    <phoneticPr fontId="5"/>
  </si>
  <si>
    <t>設定作業日数</t>
  </si>
  <si>
    <t>共通仮設費（率分）を入力して下さい</t>
    <rPh sb="0" eb="5">
      <t>キョウツウカセツヒ</t>
    </rPh>
    <rPh sb="6" eb="7">
      <t>リツ</t>
    </rPh>
    <rPh sb="7" eb="8">
      <t>ブン</t>
    </rPh>
    <phoneticPr fontId="5"/>
  </si>
  <si>
    <r>
      <t>発注ファイルの共通仮設費（率分）が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</si>
  <si>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t>　　　　　例）　（３）現場管理費 ： 受注者の金額が発注者の積算に対して過大　→　確認結果 ： 工期延伸に伴う社員等従業員給料手当の増加(元請に確認）　</t>
    <rPh sb="11" eb="13">
      <t>ゲンバ</t>
    </rPh>
    <rPh sb="13" eb="16">
      <t>カンリヒ</t>
    </rPh>
    <rPh sb="19" eb="22">
      <t>ジュチュウシャ</t>
    </rPh>
    <rPh sb="23" eb="25">
      <t>キンガク</t>
    </rPh>
    <rPh sb="26" eb="29">
      <t>ハッチュウシャ</t>
    </rPh>
    <rPh sb="30" eb="32">
      <t>セキサン</t>
    </rPh>
    <rPh sb="33" eb="34">
      <t>タイ</t>
    </rPh>
    <rPh sb="36" eb="38">
      <t>カダイ</t>
    </rPh>
    <rPh sb="41" eb="43">
      <t>カクニン</t>
    </rPh>
    <rPh sb="43" eb="45">
      <t>ケッカ</t>
    </rPh>
    <rPh sb="48" eb="50">
      <t>コウキ</t>
    </rPh>
    <rPh sb="50" eb="52">
      <t>エンシン</t>
    </rPh>
    <rPh sb="53" eb="54">
      <t>トモナ</t>
    </rPh>
    <rPh sb="55" eb="57">
      <t>シャイン</t>
    </rPh>
    <rPh sb="57" eb="58">
      <t>トウ</t>
    </rPh>
    <rPh sb="58" eb="61">
      <t>ジュウギョウイン</t>
    </rPh>
    <rPh sb="61" eb="63">
      <t>キュウリョウ</t>
    </rPh>
    <rPh sb="63" eb="65">
      <t>テアテ</t>
    </rPh>
    <rPh sb="66" eb="68">
      <t>ゾウカ</t>
    </rPh>
    <rPh sb="69" eb="71">
      <t>モトウケ</t>
    </rPh>
    <rPh sb="72" eb="74">
      <t>カクニン</t>
    </rPh>
    <phoneticPr fontId="5"/>
  </si>
  <si>
    <t>港湾土木工事</t>
    <rPh sb="0" eb="2">
      <t>コウワン</t>
    </rPh>
    <rPh sb="2" eb="4">
      <t>ドボク</t>
    </rPh>
    <rPh sb="4" eb="6">
      <t>コウジ</t>
    </rPh>
    <phoneticPr fontId="5"/>
  </si>
  <si>
    <t>農林土木工事</t>
    <rPh sb="0" eb="2">
      <t>ノウリン</t>
    </rPh>
    <rPh sb="2" eb="4">
      <t>ドボク</t>
    </rPh>
    <rPh sb="4" eb="6">
      <t>コウジ</t>
    </rPh>
    <phoneticPr fontId="5"/>
  </si>
  <si>
    <t>機器単体費の計上無し(機器の支給品がある工事は除く)</t>
    <rPh sb="2" eb="4">
      <t>タンタイ</t>
    </rPh>
    <rPh sb="6" eb="8">
      <t>ケイジョウ</t>
    </rPh>
    <rPh sb="8" eb="9">
      <t>ナシ</t>
    </rPh>
    <rPh sb="11" eb="13">
      <t>キキ</t>
    </rPh>
    <rPh sb="14" eb="17">
      <t>シキュウヒン</t>
    </rPh>
    <rPh sb="20" eb="22">
      <t>コウジ</t>
    </rPh>
    <rPh sb="23" eb="24">
      <t>ノゾ</t>
    </rPh>
    <phoneticPr fontId="4"/>
  </si>
  <si>
    <t>YESの場合：冬期の施工期間</t>
    <phoneticPr fontId="6"/>
  </si>
  <si>
    <t>上記が複合した工事</t>
    <rPh sb="0" eb="2">
      <t>ジョウキ</t>
    </rPh>
    <rPh sb="3" eb="5">
      <t>フクゴウ</t>
    </rPh>
    <phoneticPr fontId="4"/>
  </si>
  <si>
    <t>％）</t>
    <phoneticPr fontId="5"/>
  </si>
  <si>
    <t>工事請負者選定の工事種別</t>
    <rPh sb="0" eb="2">
      <t>コウジ</t>
    </rPh>
    <rPh sb="2" eb="4">
      <t>ウケオイ</t>
    </rPh>
    <rPh sb="4" eb="5">
      <t>シャ</t>
    </rPh>
    <rPh sb="5" eb="7">
      <t>センテイ</t>
    </rPh>
    <rPh sb="8" eb="10">
      <t>コウジ</t>
    </rPh>
    <rPh sb="10" eb="12">
      <t>シュベツ</t>
    </rPh>
    <phoneticPr fontId="5"/>
  </si>
  <si>
    <t>「その他」の場合の記入欄</t>
    <rPh sb="3" eb="4">
      <t>タ</t>
    </rPh>
    <rPh sb="6" eb="8">
      <t>バアイ</t>
    </rPh>
    <rPh sb="9" eb="12">
      <t>キニュウラン</t>
    </rPh>
    <phoneticPr fontId="5"/>
  </si>
  <si>
    <t>当初積算工事価格</t>
    <rPh sb="0" eb="2">
      <t>トウショ</t>
    </rPh>
    <rPh sb="2" eb="4">
      <t>セキサン</t>
    </rPh>
    <rPh sb="4" eb="6">
      <t>コウジ</t>
    </rPh>
    <rPh sb="6" eb="8">
      <t>カカク</t>
    </rPh>
    <phoneticPr fontId="5"/>
  </si>
  <si>
    <t>％</t>
    <phoneticPr fontId="5"/>
  </si>
  <si>
    <t>契約工期(当初）</t>
    <rPh sb="0" eb="2">
      <t>ケイヤク</t>
    </rPh>
    <rPh sb="2" eb="4">
      <t>コウキ</t>
    </rPh>
    <rPh sb="5" eb="7">
      <t>トウショ</t>
    </rPh>
    <phoneticPr fontId="5"/>
  </si>
  <si>
    <t>年</t>
    <rPh sb="0" eb="1">
      <t>ネン</t>
    </rPh>
    <phoneticPr fontId="4"/>
  </si>
  <si>
    <t>月</t>
    <rPh sb="0" eb="1">
      <t>ツキ</t>
    </rPh>
    <phoneticPr fontId="4"/>
  </si>
  <si>
    <t>日</t>
    <rPh sb="0" eb="1">
      <t>ヒ</t>
    </rPh>
    <phoneticPr fontId="4"/>
  </si>
  <si>
    <t>契約工期(最終）</t>
    <rPh sb="0" eb="2">
      <t>ケイヤク</t>
    </rPh>
    <rPh sb="2" eb="4">
      <t>コウキ</t>
    </rPh>
    <rPh sb="5" eb="7">
      <t>サイシュウ</t>
    </rPh>
    <phoneticPr fontId="5"/>
  </si>
  <si>
    <t>入札契約方式</t>
    <rPh sb="0" eb="2">
      <t>ニュウサツ</t>
    </rPh>
    <rPh sb="2" eb="4">
      <t>ケイヤク</t>
    </rPh>
    <rPh sb="4" eb="6">
      <t>ホウシキ</t>
    </rPh>
    <phoneticPr fontId="5"/>
  </si>
  <si>
    <t>総合評価の評価項目</t>
    <rPh sb="0" eb="2">
      <t>ソウゴウ</t>
    </rPh>
    <rPh sb="2" eb="4">
      <t>ヒョウカ</t>
    </rPh>
    <rPh sb="5" eb="7">
      <t>ヒョウカ</t>
    </rPh>
    <rPh sb="7" eb="9">
      <t>コウモク</t>
    </rPh>
    <phoneticPr fontId="5"/>
  </si>
  <si>
    <t>工事難易度</t>
    <rPh sb="0" eb="2">
      <t>コウジ</t>
    </rPh>
    <rPh sb="2" eb="5">
      <t>ナンイド</t>
    </rPh>
    <phoneticPr fontId="5"/>
  </si>
  <si>
    <t>鋼製スリット</t>
    <rPh sb="0" eb="2">
      <t>コウセイ</t>
    </rPh>
    <phoneticPr fontId="4"/>
  </si>
  <si>
    <t>不明選択</t>
    <rPh sb="0" eb="2">
      <t>フメイ</t>
    </rPh>
    <rPh sb="2" eb="4">
      <t>センタク</t>
    </rPh>
    <phoneticPr fontId="5"/>
  </si>
  <si>
    <t>間接工事費</t>
    <rPh sb="0" eb="2">
      <t>カンセツ</t>
    </rPh>
    <rPh sb="2" eb="5">
      <t>コウジヒ</t>
    </rPh>
    <phoneticPr fontId="4"/>
  </si>
  <si>
    <t>機器間接費</t>
    <rPh sb="0" eb="2">
      <t>キキ</t>
    </rPh>
    <rPh sb="2" eb="4">
      <t>カンセツ</t>
    </rPh>
    <rPh sb="4" eb="5">
      <t>ヒ</t>
    </rPh>
    <phoneticPr fontId="4"/>
  </si>
  <si>
    <t>工事価格</t>
    <rPh sb="0" eb="2">
      <t>コウジ</t>
    </rPh>
    <rPh sb="2" eb="4">
      <t>カカク</t>
    </rPh>
    <phoneticPr fontId="4"/>
  </si>
  <si>
    <t>Sumifのフラグ</t>
    <phoneticPr fontId="4"/>
  </si>
  <si>
    <t>準備費</t>
    <rPh sb="0" eb="2">
      <t>ジュンビ</t>
    </rPh>
    <rPh sb="2" eb="3">
      <t>ヒ</t>
    </rPh>
    <phoneticPr fontId="4"/>
  </si>
  <si>
    <t>共通仮設費積算対象金額</t>
    <phoneticPr fontId="4"/>
  </si>
  <si>
    <t>契約日から着手指定日まで30日以上あった理由</t>
    <rPh sb="0" eb="3">
      <t>ケイヤクビ</t>
    </rPh>
    <rPh sb="5" eb="7">
      <t>チャクシュ</t>
    </rPh>
    <rPh sb="7" eb="10">
      <t>シテイビ</t>
    </rPh>
    <rPh sb="14" eb="15">
      <t>ニチ</t>
    </rPh>
    <rPh sb="15" eb="17">
      <t>イジョウ</t>
    </rPh>
    <rPh sb="20" eb="22">
      <t>リユウ</t>
    </rPh>
    <phoneticPr fontId="5"/>
  </si>
  <si>
    <t>直接工事費内訳及び諸経費率式に影響を与えていると考えられる二次製品等に関する調査</t>
    <phoneticPr fontId="5"/>
  </si>
  <si>
    <t>補償の有無</t>
    <rPh sb="0" eb="2">
      <t>ホショウ</t>
    </rPh>
    <rPh sb="3" eb="5">
      <t>ウム</t>
    </rPh>
    <phoneticPr fontId="5"/>
  </si>
  <si>
    <t>補償方法選択</t>
    <rPh sb="0" eb="2">
      <t>ホショウ</t>
    </rPh>
    <rPh sb="2" eb="4">
      <t>ホウホウ</t>
    </rPh>
    <rPh sb="4" eb="6">
      <t>センタク</t>
    </rPh>
    <phoneticPr fontId="5"/>
  </si>
  <si>
    <t>作業制約時間</t>
    <rPh sb="0" eb="2">
      <t>サギョウ</t>
    </rPh>
    <rPh sb="2" eb="4">
      <t>セイヤク</t>
    </rPh>
    <rPh sb="4" eb="6">
      <t>ジカン</t>
    </rPh>
    <phoneticPr fontId="5"/>
  </si>
  <si>
    <t>一般事項</t>
    <rPh sb="0" eb="2">
      <t>イッパン</t>
    </rPh>
    <rPh sb="2" eb="4">
      <t>ジコウ</t>
    </rPh>
    <phoneticPr fontId="5"/>
  </si>
  <si>
    <t>工事費</t>
    <rPh sb="0" eb="3">
      <t>コウジヒ</t>
    </rPh>
    <phoneticPr fontId="5"/>
  </si>
  <si>
    <t>発注形態</t>
    <rPh sb="0" eb="2">
      <t>ハッチュウ</t>
    </rPh>
    <rPh sb="2" eb="4">
      <t>ケイタイ</t>
    </rPh>
    <phoneticPr fontId="5"/>
  </si>
  <si>
    <t>管理区分</t>
    <rPh sb="0" eb="2">
      <t>カンリ</t>
    </rPh>
    <rPh sb="2" eb="4">
      <t>クブン</t>
    </rPh>
    <phoneticPr fontId="5"/>
  </si>
  <si>
    <t>工期</t>
    <rPh sb="0" eb="2">
      <t>コウキ</t>
    </rPh>
    <phoneticPr fontId="5"/>
  </si>
  <si>
    <t>作業不能の要因</t>
    <rPh sb="0" eb="2">
      <t>サギョウ</t>
    </rPh>
    <rPh sb="2" eb="4">
      <t>フノウ</t>
    </rPh>
    <rPh sb="5" eb="7">
      <t>ヨウイン</t>
    </rPh>
    <phoneticPr fontId="5"/>
  </si>
  <si>
    <t>施工分散</t>
    <rPh sb="0" eb="2">
      <t>セコウ</t>
    </rPh>
    <rPh sb="2" eb="4">
      <t>ブンサン</t>
    </rPh>
    <phoneticPr fontId="5"/>
  </si>
  <si>
    <t>Yes, No選択</t>
    <rPh sb="7" eb="9">
      <t>センタク</t>
    </rPh>
    <phoneticPr fontId="5"/>
  </si>
  <si>
    <t>概算概略発注</t>
    <rPh sb="0" eb="2">
      <t>ガイサン</t>
    </rPh>
    <rPh sb="2" eb="4">
      <t>ガイリャク</t>
    </rPh>
    <rPh sb="4" eb="6">
      <t>ハッチュウ</t>
    </rPh>
    <phoneticPr fontId="5"/>
  </si>
  <si>
    <t>その他</t>
    <rPh sb="0" eb="3">
      <t>ソノタ</t>
    </rPh>
    <phoneticPr fontId="5"/>
  </si>
  <si>
    <t>準備費</t>
    <rPh sb="0" eb="2">
      <t>ジュンビ</t>
    </rPh>
    <rPh sb="2" eb="3">
      <t>ヒ</t>
    </rPh>
    <phoneticPr fontId="5"/>
  </si>
  <si>
    <t>○</t>
    <phoneticPr fontId="5"/>
  </si>
  <si>
    <t>Ⅰ</t>
    <phoneticPr fontId="5"/>
  </si>
  <si>
    <t>Ⅱ</t>
    <phoneticPr fontId="5"/>
  </si>
  <si>
    <t>Ⅲ</t>
    <phoneticPr fontId="5"/>
  </si>
  <si>
    <t>Ⅳ</t>
    <phoneticPr fontId="5"/>
  </si>
  <si>
    <t>Ⅴ</t>
    <phoneticPr fontId="5"/>
  </si>
  <si>
    <t>Ⅵ</t>
    <phoneticPr fontId="5"/>
  </si>
  <si>
    <t xml:space="preserve">指名競争入札 </t>
    <phoneticPr fontId="5"/>
  </si>
  <si>
    <t>随意契約</t>
    <phoneticPr fontId="5"/>
  </si>
  <si>
    <t>060：さいたま市</t>
    <phoneticPr fontId="5"/>
  </si>
  <si>
    <t>063：新潟市</t>
    <phoneticPr fontId="5"/>
  </si>
  <si>
    <t>064：浜松市</t>
    <phoneticPr fontId="5"/>
  </si>
  <si>
    <t>インフレスライド</t>
    <phoneticPr fontId="5"/>
  </si>
  <si>
    <t>121：下水道工事（１）</t>
    <phoneticPr fontId="5"/>
  </si>
  <si>
    <t>601：下水道工事（２）「函渠、管渠等（開削）」　</t>
    <phoneticPr fontId="5"/>
  </si>
  <si>
    <t>602：下水道工事（２）「側溝、水路等」　</t>
    <phoneticPr fontId="5"/>
  </si>
  <si>
    <t>603：下水道工事（２）「推進（口径≦500mm）」</t>
    <phoneticPr fontId="5"/>
  </si>
  <si>
    <t>604：下水道工事（２）「推進（500mm&lt;口径&lt;800mm）」</t>
    <phoneticPr fontId="5"/>
  </si>
  <si>
    <t>123：下水道工事（３）</t>
    <phoneticPr fontId="5"/>
  </si>
  <si>
    <t>611：下水道工事（４）管更生「製管工法（機械製管）」</t>
    <phoneticPr fontId="5"/>
  </si>
  <si>
    <t>612：下水道工事（４）管更生「製管工法（人力製管）」</t>
    <phoneticPr fontId="5"/>
  </si>
  <si>
    <t>613：下水道工事（４）管更生「反転工法」</t>
    <phoneticPr fontId="5"/>
  </si>
  <si>
    <t>614：下水道工事（４）管更生「形成工法」</t>
    <phoneticPr fontId="5"/>
  </si>
  <si>
    <t>機器の製作のみの工事</t>
    <phoneticPr fontId="4"/>
  </si>
  <si>
    <t>資機材の保管</t>
    <phoneticPr fontId="5"/>
  </si>
  <si>
    <t>ＰＣスノーシェルター（ｽﾉｰｼｪﾙﾀｰ部材の製品費）</t>
    <phoneticPr fontId="5"/>
  </si>
  <si>
    <t>モニュメント（工場で製作し、現地で設置した場合）</t>
    <phoneticPr fontId="5"/>
  </si>
  <si>
    <t>３ＤMＧ（バックホウ）</t>
    <phoneticPr fontId="5"/>
  </si>
  <si>
    <t>３ＤMＧ（ブルドーザ）</t>
    <phoneticPr fontId="5"/>
  </si>
  <si>
    <t>MC（ブルドーザ）</t>
    <phoneticPr fontId="5"/>
  </si>
  <si>
    <t>MC（モータグレーダ）</t>
    <phoneticPr fontId="5"/>
  </si>
  <si>
    <t>TS出来形管理（舗装工）</t>
    <phoneticPr fontId="5"/>
  </si>
  <si>
    <t>TS出来形管理（土工）</t>
    <phoneticPr fontId="5"/>
  </si>
  <si>
    <t>ソフトウェアメーカー</t>
    <phoneticPr fontId="5"/>
  </si>
  <si>
    <t>コンサル会社</t>
    <phoneticPr fontId="5"/>
  </si>
  <si>
    <t>測量会社</t>
    <phoneticPr fontId="5"/>
  </si>
  <si>
    <t>その他</t>
    <phoneticPr fontId="5"/>
  </si>
  <si>
    <t>A-9　施工管理で使用するＯＡ機器の費用</t>
    <phoneticPr fontId="5"/>
  </si>
  <si>
    <t>外注</t>
    <phoneticPr fontId="5"/>
  </si>
  <si>
    <t>直工+支給材+無償機械+事業損+準備費の処分費</t>
    <phoneticPr fontId="4"/>
  </si>
  <si>
    <t>A-6　ＰＣ上部工、アンカ－工等の緊張管理、グラウト配合試験等に要した費用</t>
    <rPh sb="32" eb="33">
      <t>ヨウ</t>
    </rPh>
    <rPh sb="35" eb="37">
      <t>ヒヨウ</t>
    </rPh>
    <phoneticPr fontId="5"/>
  </si>
  <si>
    <t>A-7　トンネル工（ＮＡＴＭ）の計測Ａに要した費用</t>
    <rPh sb="20" eb="21">
      <t>ヨウ</t>
    </rPh>
    <rPh sb="23" eb="25">
      <t>ヒヨウ</t>
    </rPh>
    <phoneticPr fontId="5"/>
  </si>
  <si>
    <t>A-8　塗装膜厚施工管理に要した費用</t>
    <rPh sb="13" eb="14">
      <t>ヨウ</t>
    </rPh>
    <rPh sb="16" eb="18">
      <t>ヒヨウ</t>
    </rPh>
    <phoneticPr fontId="5"/>
  </si>
  <si>
    <t>A-10　建設発生土情報交換システムの登録に要した費用</t>
    <rPh sb="5" eb="7">
      <t>ケンセツ</t>
    </rPh>
    <rPh sb="7" eb="9">
      <t>ハッセイ</t>
    </rPh>
    <rPh sb="9" eb="10">
      <t>ド</t>
    </rPh>
    <rPh sb="10" eb="12">
      <t>ジョウホウ</t>
    </rPh>
    <rPh sb="12" eb="14">
      <t>コウカン</t>
    </rPh>
    <rPh sb="19" eb="21">
      <t>トウロク</t>
    </rPh>
    <rPh sb="22" eb="23">
      <t>ヨウ</t>
    </rPh>
    <rPh sb="25" eb="27">
      <t>ヒヨウ</t>
    </rPh>
    <phoneticPr fontId="5"/>
  </si>
  <si>
    <t>A-11　建設副産物情報交換システムの登録に要した費用</t>
    <rPh sb="5" eb="7">
      <t>ケンセツ</t>
    </rPh>
    <rPh sb="7" eb="10">
      <t>フクサンブツ</t>
    </rPh>
    <rPh sb="10" eb="12">
      <t>ジョウホウ</t>
    </rPh>
    <rPh sb="12" eb="14">
      <t>コウカン</t>
    </rPh>
    <rPh sb="19" eb="21">
      <t>トウロク</t>
    </rPh>
    <rPh sb="22" eb="23">
      <t>ヨウ</t>
    </rPh>
    <rPh sb="25" eb="27">
      <t>ヒヨウ</t>
    </rPh>
    <phoneticPr fontId="5"/>
  </si>
  <si>
    <t>　(４)機械器具等損料</t>
    <rPh sb="6" eb="8">
      <t>キグ</t>
    </rPh>
    <phoneticPr fontId="5"/>
  </si>
  <si>
    <t>黄色のｾﾙに入力して下さい。緑色のｾﾙは自動で値が入ります。</t>
    <phoneticPr fontId="5"/>
  </si>
  <si>
    <t>Ｅ</t>
    <phoneticPr fontId="5"/>
  </si>
  <si>
    <t>作業実施者</t>
    <rPh sb="0" eb="2">
      <t>サギョウ</t>
    </rPh>
    <rPh sb="2" eb="4">
      <t>ジッシ</t>
    </rPh>
    <rPh sb="4" eb="5">
      <t>シャ</t>
    </rPh>
    <phoneticPr fontId="5"/>
  </si>
  <si>
    <t>対象工種</t>
    <rPh sb="0" eb="2">
      <t>タイショウ</t>
    </rPh>
    <rPh sb="2" eb="4">
      <t>コウシュ</t>
    </rPh>
    <phoneticPr fontId="5"/>
  </si>
  <si>
    <t>A-1　品質管理基準に記載されている項目（必須及びその他）に要した費用</t>
    <rPh sb="21" eb="23">
      <t>ヒッス</t>
    </rPh>
    <rPh sb="23" eb="24">
      <t>オヨ</t>
    </rPh>
    <rPh sb="27" eb="28">
      <t>タ</t>
    </rPh>
    <rPh sb="30" eb="31">
      <t>ヨウ</t>
    </rPh>
    <rPh sb="33" eb="35">
      <t>ヒヨウ</t>
    </rPh>
    <phoneticPr fontId="5"/>
  </si>
  <si>
    <t>自社</t>
    <rPh sb="0" eb="2">
      <t>ジシャ</t>
    </rPh>
    <phoneticPr fontId="5"/>
  </si>
  <si>
    <t>有り</t>
    <rPh sb="0" eb="1">
      <t>ア</t>
    </rPh>
    <phoneticPr fontId="5"/>
  </si>
  <si>
    <t>A-2　出来形管理のための測量、図面作成、写真管理に要した費用</t>
    <rPh sb="26" eb="27">
      <t>ヨウ</t>
    </rPh>
    <rPh sb="29" eb="31">
      <t>ヒヨウ</t>
    </rPh>
    <phoneticPr fontId="5"/>
  </si>
  <si>
    <t>河川土工</t>
    <rPh sb="0" eb="2">
      <t>カセン</t>
    </rPh>
    <rPh sb="2" eb="4">
      <t>ドコウ</t>
    </rPh>
    <phoneticPr fontId="5"/>
  </si>
  <si>
    <t>無し</t>
    <rPh sb="0" eb="1">
      <t>ナ</t>
    </rPh>
    <phoneticPr fontId="5"/>
  </si>
  <si>
    <t>A-3　工程管理のための資料作成等に要した費用</t>
    <rPh sb="18" eb="19">
      <t>ヨウ</t>
    </rPh>
    <rPh sb="21" eb="23">
      <t>ヒヨウ</t>
    </rPh>
    <phoneticPr fontId="5"/>
  </si>
  <si>
    <t>A-4　完成図、マイクロフィルムの作成及び電子納品等に要した費用</t>
    <rPh sb="27" eb="28">
      <t>ヨウ</t>
    </rPh>
    <rPh sb="30" eb="32">
      <t>ヒヨウ</t>
    </rPh>
    <phoneticPr fontId="5"/>
  </si>
  <si>
    <t>A-5　建設材料の品質記録保存に要した費用</t>
    <rPh sb="16" eb="17">
      <t>ヨウ</t>
    </rPh>
    <rPh sb="19" eb="21">
      <t>ヒヨウ</t>
    </rPh>
    <phoneticPr fontId="5"/>
  </si>
  <si>
    <t>３．下請の金額確認</t>
    <rPh sb="2" eb="4">
      <t>シタウケ</t>
    </rPh>
    <rPh sb="5" eb="7">
      <t>キンガク</t>
    </rPh>
    <rPh sb="7" eb="9">
      <t>カクニン</t>
    </rPh>
    <phoneticPr fontId="5"/>
  </si>
  <si>
    <t>外注一般管理費等</t>
    <rPh sb="0" eb="2">
      <t>ガイチュウ</t>
    </rPh>
    <rPh sb="2" eb="4">
      <t>イッパン</t>
    </rPh>
    <rPh sb="4" eb="7">
      <t>カンリヒ</t>
    </rPh>
    <rPh sb="7" eb="8">
      <t>トウ</t>
    </rPh>
    <phoneticPr fontId="5"/>
  </si>
  <si>
    <t>当該二次製品材料費</t>
    <phoneticPr fontId="5"/>
  </si>
  <si>
    <t>　（５）工事一時中止に伴う増加費用
　　　　（率項目+積上げ項目）</t>
    <rPh sb="4" eb="6">
      <t>コウジ</t>
    </rPh>
    <rPh sb="6" eb="8">
      <t>イチジ</t>
    </rPh>
    <rPh sb="8" eb="10">
      <t>チュウシ</t>
    </rPh>
    <rPh sb="11" eb="12">
      <t>トモナ</t>
    </rPh>
    <rPh sb="13" eb="15">
      <t>ゾウカ</t>
    </rPh>
    <rPh sb="15" eb="17">
      <t>ヒヨウ</t>
    </rPh>
    <phoneticPr fontId="5"/>
  </si>
  <si>
    <t>工事一時中止に伴う増加費用（率項目+積上げ項目）</t>
    <phoneticPr fontId="5"/>
  </si>
  <si>
    <t>1.工事一時中止に伴う増加費用（率項目+積上げ項目）を入力して下さい
2.費用が発生しない場合は０を入力して下さい</t>
    <rPh sb="40" eb="42">
      <t>ハッセイ</t>
    </rPh>
    <phoneticPr fontId="5"/>
  </si>
  <si>
    <r>
      <t>発注ファイルの工事一時中止に伴う増加費用（率項目+積上げ項目）が</t>
    </r>
    <r>
      <rPr>
        <b/>
        <sz val="10"/>
        <rFont val="ＭＳ Ｐゴシック"/>
        <family val="3"/>
        <charset val="128"/>
      </rPr>
      <t>未入力</t>
    </r>
    <phoneticPr fontId="5"/>
  </si>
  <si>
    <t>1：市街地</t>
  </si>
  <si>
    <t>2：山間僻地及び離島</t>
  </si>
  <si>
    <t>①請負代金額（スライド適用期間の工事費）</t>
    <rPh sb="1" eb="3">
      <t>ウケオイ</t>
    </rPh>
    <phoneticPr fontId="4"/>
  </si>
  <si>
    <t>1.発注ファイル
「工事費」シートで工事費内訳を入力して下さい。入力することで工事価格が自動計算されます。
2.元請ファイル
「一般事項」シートで工事請負金額を入力してください。入力することで「工事費」シートに工事価格が自動計算されます。</t>
    <rPh sb="2" eb="4">
      <t>ハッチュウ</t>
    </rPh>
    <rPh sb="10" eb="13">
      <t>コウジヒ</t>
    </rPh>
    <rPh sb="18" eb="21">
      <t>コウジヒ</t>
    </rPh>
    <rPh sb="32" eb="34">
      <t>ニュウリョク</t>
    </rPh>
    <rPh sb="39" eb="41">
      <t>コウジ</t>
    </rPh>
    <rPh sb="41" eb="43">
      <t>カカク</t>
    </rPh>
    <rPh sb="44" eb="46">
      <t>ジドウ</t>
    </rPh>
    <rPh sb="46" eb="48">
      <t>ケイサン</t>
    </rPh>
    <phoneticPr fontId="5"/>
  </si>
  <si>
    <t>工事情報</t>
    <rPh sb="0" eb="2">
      <t>コウジ</t>
    </rPh>
    <rPh sb="2" eb="4">
      <t>ジョウホウ</t>
    </rPh>
    <phoneticPr fontId="5"/>
  </si>
  <si>
    <t>特別区</t>
    <rPh sb="0" eb="2">
      <t>トクベツ</t>
    </rPh>
    <rPh sb="2" eb="3">
      <t>ク</t>
    </rPh>
    <phoneticPr fontId="5"/>
  </si>
  <si>
    <t>東京都</t>
    <rPh sb="0" eb="3">
      <t>トウキョウト</t>
    </rPh>
    <phoneticPr fontId="5"/>
  </si>
  <si>
    <t>要確認98</t>
    <phoneticPr fontId="5"/>
  </si>
  <si>
    <t>要確認99</t>
    <phoneticPr fontId="5"/>
  </si>
  <si>
    <t>要確認100</t>
    <phoneticPr fontId="5"/>
  </si>
  <si>
    <t>要確認101</t>
    <phoneticPr fontId="5"/>
  </si>
  <si>
    <t>要確認102</t>
    <phoneticPr fontId="5"/>
  </si>
  <si>
    <r>
      <t>要確認10</t>
    </r>
    <r>
      <rPr>
        <sz val="11"/>
        <rFont val="ＭＳ Ｐゴシック"/>
        <family val="3"/>
        <charset val="128"/>
      </rPr>
      <t>3</t>
    </r>
    <phoneticPr fontId="5"/>
  </si>
  <si>
    <t>元請ファイル</t>
    <rPh sb="0" eb="1">
      <t>モト</t>
    </rPh>
    <rPh sb="1" eb="2">
      <t>ウ</t>
    </rPh>
    <phoneticPr fontId="5"/>
  </si>
  <si>
    <t>②間接工事費</t>
    <rPh sb="1" eb="3">
      <t>カンセツ</t>
    </rPh>
    <rPh sb="3" eb="6">
      <t>コウジヒ</t>
    </rPh>
    <phoneticPr fontId="5"/>
  </si>
  <si>
    <t>施工場所コード</t>
    <rPh sb="0" eb="2">
      <t>セコウ</t>
    </rPh>
    <rPh sb="2" eb="4">
      <t>バショ</t>
    </rPh>
    <phoneticPr fontId="4"/>
  </si>
  <si>
    <t>工事場所が現道上、あるいは現道の側で、交通規制を伴う一般交通の影響を受けた。</t>
    <rPh sb="19" eb="21">
      <t>コウツウ</t>
    </rPh>
    <rPh sb="21" eb="23">
      <t>キセイ</t>
    </rPh>
    <rPh sb="24" eb="25">
      <t>トモナ</t>
    </rPh>
    <phoneticPr fontId="5"/>
  </si>
  <si>
    <t>供用形態</t>
    <rPh sb="0" eb="2">
      <t>キョウヨウ</t>
    </rPh>
    <rPh sb="2" eb="4">
      <t>ケイタイ</t>
    </rPh>
    <phoneticPr fontId="5"/>
  </si>
  <si>
    <t>YESの場合：車線の形態</t>
    <rPh sb="7" eb="9">
      <t>シャセン</t>
    </rPh>
    <rPh sb="10" eb="12">
      <t>ケイタイ</t>
    </rPh>
    <phoneticPr fontId="6"/>
  </si>
  <si>
    <t>YESの場合：工事中止命令に伴う工期延期日数</t>
    <phoneticPr fontId="6"/>
  </si>
  <si>
    <t>YESの場合：　実日数</t>
    <rPh sb="8" eb="9">
      <t>ジツ</t>
    </rPh>
    <rPh sb="9" eb="11">
      <t>ニッスウ</t>
    </rPh>
    <phoneticPr fontId="6"/>
  </si>
  <si>
    <t>１．占用許可　　　　２．使用許可　　　　　　　　　　　　　　　　　理由３：</t>
    <rPh sb="2" eb="4">
      <t>センヨウ</t>
    </rPh>
    <rPh sb="4" eb="6">
      <t>キョカ</t>
    </rPh>
    <rPh sb="12" eb="14">
      <t>シヨウ</t>
    </rPh>
    <rPh sb="14" eb="16">
      <t>キョカ</t>
    </rPh>
    <phoneticPr fontId="5"/>
  </si>
  <si>
    <t>YESの場合：説明回数</t>
    <phoneticPr fontId="6"/>
  </si>
  <si>
    <t>占用許可</t>
  </si>
  <si>
    <t>使用許可</t>
  </si>
  <si>
    <t>用地取得</t>
  </si>
  <si>
    <t>地元説明</t>
  </si>
  <si>
    <t>）</t>
  </si>
  <si>
    <t>政令指定都市</t>
    <rPh sb="0" eb="2">
      <t>セイレイ</t>
    </rPh>
    <rPh sb="2" eb="4">
      <t>シテイ</t>
    </rPh>
    <rPh sb="4" eb="6">
      <t>トシ</t>
    </rPh>
    <phoneticPr fontId="5"/>
  </si>
  <si>
    <t>工事概要</t>
    <rPh sb="0" eb="2">
      <t>コウジ</t>
    </rPh>
    <rPh sb="2" eb="4">
      <t>ガイヨウ</t>
    </rPh>
    <phoneticPr fontId="5"/>
  </si>
  <si>
    <r>
      <t>1.直接工事費及び間接工事費等に計上漏れはないか？
2.一般管理費等の項目は、工事価格から工事原価を差し引いた金額です。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イッパン</t>
    </rPh>
    <rPh sb="30" eb="33">
      <t>カンリヒ</t>
    </rPh>
    <rPh sb="33" eb="34">
      <t>トウ</t>
    </rPh>
    <rPh sb="35" eb="37">
      <t>コウモク</t>
    </rPh>
    <rPh sb="45" eb="47">
      <t>コウジ</t>
    </rPh>
    <rPh sb="47" eb="49">
      <t>ゲンカ</t>
    </rPh>
    <rPh sb="50" eb="51">
      <t>サ</t>
    </rPh>
    <rPh sb="52" eb="53">
      <t>ヒ</t>
    </rPh>
    <rPh sb="55" eb="57">
      <t>キンガク</t>
    </rPh>
    <rPh sb="99" eb="101">
      <t>ケイジョウ</t>
    </rPh>
    <rPh sb="101" eb="102">
      <t>モ</t>
    </rPh>
    <rPh sb="107" eb="109">
      <t>カクニン</t>
    </rPh>
    <rPh sb="111" eb="112">
      <t>クダ</t>
    </rPh>
    <phoneticPr fontId="5"/>
  </si>
  <si>
    <t>補償費</t>
    <rPh sb="0" eb="2">
      <t>ホショウ</t>
    </rPh>
    <rPh sb="2" eb="3">
      <t>ヒ</t>
    </rPh>
    <phoneticPr fontId="5"/>
  </si>
  <si>
    <r>
      <t>発注ファイル及び元請ファイルの補償費が</t>
    </r>
    <r>
      <rPr>
        <b/>
        <sz val="11"/>
        <rFont val="ＭＳ Ｐゴシック"/>
        <family val="3"/>
        <charset val="128"/>
      </rPr>
      <t>未入力</t>
    </r>
    <r>
      <rPr>
        <sz val="11"/>
        <rFont val="ＭＳ Ｐゴシック"/>
        <family val="3"/>
        <charset val="128"/>
      </rPr>
      <t/>
    </r>
    <rPh sb="15" eb="17">
      <t>ホショウ</t>
    </rPh>
    <rPh sb="17" eb="18">
      <t>ヒ</t>
    </rPh>
    <phoneticPr fontId="5"/>
  </si>
  <si>
    <t>1.補償費を入力して下さい
2.費用が発生しない場合は、0を入力して下さい</t>
    <rPh sb="2" eb="4">
      <t>ホショウ</t>
    </rPh>
    <rPh sb="4" eb="5">
      <t>ヒ</t>
    </rPh>
    <rPh sb="16" eb="18">
      <t>ヒヨウ</t>
    </rPh>
    <rPh sb="19" eb="21">
      <t>ハッセイ</t>
    </rPh>
    <rPh sb="24" eb="26">
      <t>バアイ</t>
    </rPh>
    <rPh sb="30" eb="32">
      <t>ニュウリョク</t>
    </rPh>
    <rPh sb="34" eb="35">
      <t>クダ</t>
    </rPh>
    <phoneticPr fontId="5"/>
  </si>
  <si>
    <r>
      <t>発注ファイルの補償費が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</si>
  <si>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r>
      <t>元請ファイルの補償費が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</si>
  <si>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t>発注ファイルに費用計上があるのに、元請ファイルに実績額の計上がない</t>
    <rPh sb="17" eb="19">
      <t>モトウケ</t>
    </rPh>
    <phoneticPr fontId="5"/>
  </si>
  <si>
    <t>元請ファイルに実績費用を計上して下さい</t>
    <rPh sb="0" eb="2">
      <t>モトウケ</t>
    </rPh>
    <rPh sb="7" eb="9">
      <t>ジッセキ</t>
    </rPh>
    <rPh sb="9" eb="11">
      <t>ヒヨウ</t>
    </rPh>
    <rPh sb="12" eb="14">
      <t>ケイジョウ</t>
    </rPh>
    <rPh sb="16" eb="17">
      <t>クダ</t>
    </rPh>
    <phoneticPr fontId="5"/>
  </si>
  <si>
    <t>発注ファイルに費用計上がないのに、元請ファイルに費用計上がある</t>
    <rPh sb="17" eb="19">
      <t>モトウケ</t>
    </rPh>
    <rPh sb="24" eb="26">
      <t>ヒヨウ</t>
    </rPh>
    <phoneticPr fontId="5"/>
  </si>
  <si>
    <t>元請ファイルの計上金額は「(3)現場管理費 リ_補償費」に計上修正してください</t>
    <rPh sb="0" eb="2">
      <t>モトウケ</t>
    </rPh>
    <rPh sb="7" eb="9">
      <t>ケイジョウ</t>
    </rPh>
    <rPh sb="9" eb="11">
      <t>キンガク</t>
    </rPh>
    <rPh sb="16" eb="18">
      <t>ゲンバ</t>
    </rPh>
    <rPh sb="18" eb="21">
      <t>カンリヒ</t>
    </rPh>
    <rPh sb="24" eb="27">
      <t>ホショウヒ</t>
    </rPh>
    <rPh sb="29" eb="31">
      <t>ケイジョウ</t>
    </rPh>
    <rPh sb="31" eb="33">
      <t>シュウセイ</t>
    </rPh>
    <phoneticPr fontId="5"/>
  </si>
  <si>
    <t>①労働者宿舎</t>
    <rPh sb="1" eb="4">
      <t>ロウドウシャ</t>
    </rPh>
    <rPh sb="4" eb="6">
      <t>シュクシャ</t>
    </rPh>
    <phoneticPr fontId="5"/>
  </si>
  <si>
    <t>②現場事務所等</t>
    <rPh sb="1" eb="3">
      <t>ゲンバ</t>
    </rPh>
    <rPh sb="3" eb="5">
      <t>ジム</t>
    </rPh>
    <rPh sb="5" eb="6">
      <t>ショ</t>
    </rPh>
    <rPh sb="6" eb="7">
      <t>トウ</t>
    </rPh>
    <phoneticPr fontId="5"/>
  </si>
  <si>
    <t>要確認110</t>
    <phoneticPr fontId="5"/>
  </si>
  <si>
    <t>共通仮設費</t>
    <rPh sb="0" eb="2">
      <t>キョウツウ</t>
    </rPh>
    <rPh sb="2" eb="5">
      <t>カセツヒ</t>
    </rPh>
    <phoneticPr fontId="5"/>
  </si>
  <si>
    <t>③</t>
    <phoneticPr fontId="5"/>
  </si>
  <si>
    <t>(１)</t>
    <phoneticPr fontId="5"/>
  </si>
  <si>
    <t>直接工事費を入力して下さい</t>
    <rPh sb="10" eb="11">
      <t>クダ</t>
    </rPh>
    <phoneticPr fontId="5"/>
  </si>
  <si>
    <r>
      <t>発注ファイルの直接工事費が</t>
    </r>
    <r>
      <rPr>
        <b/>
        <sz val="11"/>
        <rFont val="ＭＳ Ｐゴシック"/>
        <family val="3"/>
        <charset val="128"/>
      </rPr>
      <t>未入力</t>
    </r>
    <r>
      <rPr>
        <sz val="11"/>
        <rFont val="ＭＳ Ｐゴシック"/>
        <family val="3"/>
        <charset val="128"/>
      </rPr>
      <t/>
    </r>
    <phoneticPr fontId="5"/>
  </si>
  <si>
    <r>
      <t>元請ファイルの直接工事費が</t>
    </r>
    <r>
      <rPr>
        <b/>
        <sz val="11"/>
        <rFont val="ＭＳ Ｐゴシック"/>
        <family val="3"/>
        <charset val="128"/>
      </rPr>
      <t>未入力</t>
    </r>
    <r>
      <rPr>
        <sz val="11"/>
        <rFont val="ＭＳ Ｐゴシック"/>
        <family val="3"/>
        <charset val="128"/>
      </rPr>
      <t/>
    </r>
    <rPh sb="0" eb="2">
      <t>モトウケ</t>
    </rPh>
    <phoneticPr fontId="5"/>
  </si>
  <si>
    <t>発注者側で積算計上がない場合は、元請ファイルに費用は計上できません。積算計上がある場合のみ元請ファイルに費用計上できます。</t>
    <rPh sb="0" eb="3">
      <t>ハッチュウシャ</t>
    </rPh>
    <rPh sb="3" eb="4">
      <t>ガワ</t>
    </rPh>
    <rPh sb="5" eb="7">
      <t>セキサン</t>
    </rPh>
    <rPh sb="7" eb="9">
      <t>ケイジョウ</t>
    </rPh>
    <rPh sb="12" eb="14">
      <t>バアイ</t>
    </rPh>
    <rPh sb="16" eb="18">
      <t>モトウケ</t>
    </rPh>
    <rPh sb="23" eb="25">
      <t>ヒヨウ</t>
    </rPh>
    <rPh sb="26" eb="28">
      <t>ケイジョウ</t>
    </rPh>
    <rPh sb="45" eb="47">
      <t>モトウケ</t>
    </rPh>
    <rPh sb="54" eb="56">
      <t>ケイジョウ</t>
    </rPh>
    <phoneticPr fontId="5"/>
  </si>
  <si>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カダイ</t>
    </rPh>
    <phoneticPr fontId="5"/>
  </si>
  <si>
    <t>要確認22</t>
    <phoneticPr fontId="5"/>
  </si>
  <si>
    <t>要確認23</t>
    <phoneticPr fontId="5"/>
  </si>
  <si>
    <t>要確認24</t>
    <phoneticPr fontId="5"/>
  </si>
  <si>
    <t>要確認25</t>
    <phoneticPr fontId="5"/>
  </si>
  <si>
    <t>要確認26</t>
    <phoneticPr fontId="5"/>
  </si>
  <si>
    <t>要確認27</t>
    <phoneticPr fontId="5"/>
  </si>
  <si>
    <t>要確認28</t>
    <phoneticPr fontId="5"/>
  </si>
  <si>
    <t>要確認29</t>
    <phoneticPr fontId="5"/>
  </si>
  <si>
    <t>要確認30</t>
    <phoneticPr fontId="5"/>
  </si>
  <si>
    <t>要確認31</t>
    <phoneticPr fontId="5"/>
  </si>
  <si>
    <t>要確認32</t>
    <phoneticPr fontId="5"/>
  </si>
  <si>
    <t>要確認33</t>
    <phoneticPr fontId="5"/>
  </si>
  <si>
    <t>要確認34</t>
    <phoneticPr fontId="5"/>
  </si>
  <si>
    <t>要確認35</t>
    <phoneticPr fontId="5"/>
  </si>
  <si>
    <t>要確認36</t>
    <phoneticPr fontId="5"/>
  </si>
  <si>
    <t>要確認37</t>
    <phoneticPr fontId="5"/>
  </si>
  <si>
    <t>要確認38</t>
    <phoneticPr fontId="5"/>
  </si>
  <si>
    <t>要確認39</t>
    <phoneticPr fontId="5"/>
  </si>
  <si>
    <t>要確認40</t>
    <phoneticPr fontId="5"/>
  </si>
  <si>
    <t>要確認41</t>
    <phoneticPr fontId="5"/>
  </si>
  <si>
    <t>要確認42</t>
    <phoneticPr fontId="5"/>
  </si>
  <si>
    <t>要確認43</t>
    <phoneticPr fontId="5"/>
  </si>
  <si>
    <t>要確認44</t>
    <phoneticPr fontId="5"/>
  </si>
  <si>
    <t>要確認45</t>
    <phoneticPr fontId="5"/>
  </si>
  <si>
    <t>要確認46</t>
    <phoneticPr fontId="5"/>
  </si>
  <si>
    <t>要確認47</t>
    <phoneticPr fontId="5"/>
  </si>
  <si>
    <t>要確認48</t>
    <phoneticPr fontId="5"/>
  </si>
  <si>
    <t>要確認49</t>
    <phoneticPr fontId="5"/>
  </si>
  <si>
    <t>要確認50</t>
    <phoneticPr fontId="5"/>
  </si>
  <si>
    <t>要確認51</t>
    <phoneticPr fontId="5"/>
  </si>
  <si>
    <t>要確認52</t>
    <phoneticPr fontId="5"/>
  </si>
  <si>
    <t>要確認53</t>
    <phoneticPr fontId="5"/>
  </si>
  <si>
    <t>要確認54</t>
    <phoneticPr fontId="5"/>
  </si>
  <si>
    <t>要確認55</t>
    <phoneticPr fontId="5"/>
  </si>
  <si>
    <t>要確認56</t>
    <phoneticPr fontId="5"/>
  </si>
  <si>
    <t>要確認57</t>
    <phoneticPr fontId="5"/>
  </si>
  <si>
    <t>要確認58</t>
    <phoneticPr fontId="5"/>
  </si>
  <si>
    <t>要確認59</t>
    <phoneticPr fontId="5"/>
  </si>
  <si>
    <t>要確認60</t>
    <phoneticPr fontId="5"/>
  </si>
  <si>
    <t>要確認61</t>
    <phoneticPr fontId="5"/>
  </si>
  <si>
    <t>要確認62</t>
    <phoneticPr fontId="5"/>
  </si>
  <si>
    <t>要確認63</t>
    <phoneticPr fontId="5"/>
  </si>
  <si>
    <t>要確認64</t>
    <phoneticPr fontId="5"/>
  </si>
  <si>
    <t>要確認65</t>
    <phoneticPr fontId="5"/>
  </si>
  <si>
    <t>要確認66</t>
    <phoneticPr fontId="5"/>
  </si>
  <si>
    <t>要確認67</t>
    <phoneticPr fontId="5"/>
  </si>
  <si>
    <t>要確認68</t>
    <phoneticPr fontId="5"/>
  </si>
  <si>
    <t>要確認69</t>
    <phoneticPr fontId="5"/>
  </si>
  <si>
    <t>要確認70</t>
    <phoneticPr fontId="5"/>
  </si>
  <si>
    <t>作業時間に時間的制約があった。（積算上、補正割増しを行った。）</t>
    <rPh sb="0" eb="2">
      <t>サギョウ</t>
    </rPh>
    <rPh sb="2" eb="4">
      <t>ジカン</t>
    </rPh>
    <rPh sb="5" eb="8">
      <t>ジカンテキ</t>
    </rPh>
    <rPh sb="8" eb="10">
      <t>セイヤク</t>
    </rPh>
    <rPh sb="16" eb="18">
      <t>セキサン</t>
    </rPh>
    <rPh sb="18" eb="19">
      <t>ジョウ</t>
    </rPh>
    <rPh sb="20" eb="22">
      <t>ホセイ</t>
    </rPh>
    <rPh sb="22" eb="23">
      <t>ワ</t>
    </rPh>
    <rPh sb="23" eb="24">
      <t>マ</t>
    </rPh>
    <rPh sb="26" eb="27">
      <t>オコナ</t>
    </rPh>
    <phoneticPr fontId="5"/>
  </si>
  <si>
    <t>YESの場合：作業制約時間</t>
    <rPh sb="7" eb="9">
      <t>サギョウ</t>
    </rPh>
    <rPh sb="9" eb="11">
      <t>セイヤク</t>
    </rPh>
    <rPh sb="11" eb="13">
      <t>ジカン</t>
    </rPh>
    <phoneticPr fontId="6"/>
  </si>
  <si>
    <t>その他の場合入力</t>
    <rPh sb="2" eb="3">
      <t>タ</t>
    </rPh>
    <rPh sb="4" eb="6">
      <t>バアイ</t>
    </rPh>
    <rPh sb="6" eb="8">
      <t>ニュウリョク</t>
    </rPh>
    <phoneticPr fontId="6"/>
  </si>
  <si>
    <t>　① 同じ対象工事の入力済み『元請CD』を入れてください。</t>
    <rPh sb="10" eb="12">
      <t>ニュウリョク</t>
    </rPh>
    <rPh sb="12" eb="13">
      <t>ズ</t>
    </rPh>
    <rPh sb="21" eb="22">
      <t>イ</t>
    </rPh>
    <phoneticPr fontId="5"/>
  </si>
  <si>
    <t>技術管理費</t>
    <rPh sb="0" eb="2">
      <t>ギジュツ</t>
    </rPh>
    <rPh sb="2" eb="5">
      <t>カンリヒ</t>
    </rPh>
    <phoneticPr fontId="4"/>
  </si>
  <si>
    <t>○</t>
    <phoneticPr fontId="4"/>
  </si>
  <si>
    <t>合計</t>
    <rPh sb="0" eb="2">
      <t>ゴウケイ</t>
    </rPh>
    <phoneticPr fontId="5"/>
  </si>
  <si>
    <t>消費税</t>
    <rPh sb="0" eb="3">
      <t>ショウヒゼイ</t>
    </rPh>
    <phoneticPr fontId="5"/>
  </si>
  <si>
    <t>E</t>
    <phoneticPr fontId="5"/>
  </si>
  <si>
    <t>一般管理費等の前払い金支出割合</t>
    <phoneticPr fontId="5"/>
  </si>
  <si>
    <t>昼夜間施工</t>
    <phoneticPr fontId="5"/>
  </si>
  <si>
    <t>一般管理費等</t>
  </si>
  <si>
    <t>未入力
フラグ</t>
    <rPh sb="0" eb="3">
      <t>ミニュウリョク</t>
    </rPh>
    <phoneticPr fontId="5"/>
  </si>
  <si>
    <t>入力必須</t>
    <rPh sb="0" eb="2">
      <t>ニュウリョク</t>
    </rPh>
    <rPh sb="2" eb="4">
      <t>ヒッス</t>
    </rPh>
    <phoneticPr fontId="5"/>
  </si>
  <si>
    <t>品目確認</t>
    <rPh sb="0" eb="2">
      <t>ヒンモク</t>
    </rPh>
    <rPh sb="2" eb="4">
      <t>カクニン</t>
    </rPh>
    <phoneticPr fontId="5"/>
  </si>
  <si>
    <t>未入力確認（K～P列）
○/×</t>
    <rPh sb="0" eb="3">
      <t>ミニュウリョク</t>
    </rPh>
    <rPh sb="3" eb="5">
      <t>カクニン</t>
    </rPh>
    <rPh sb="9" eb="10">
      <t>レツ</t>
    </rPh>
    <phoneticPr fontId="5"/>
  </si>
  <si>
    <t>×</t>
    <phoneticPr fontId="5"/>
  </si>
  <si>
    <t>設定休日数+</t>
    <rPh sb="0" eb="2">
      <t>セッテイ</t>
    </rPh>
    <rPh sb="2" eb="4">
      <t>キュウジツ</t>
    </rPh>
    <rPh sb="4" eb="5">
      <t>スウ</t>
    </rPh>
    <phoneticPr fontId="4"/>
  </si>
  <si>
    <t>設定休日数-</t>
    <rPh sb="0" eb="2">
      <t>セッテイ</t>
    </rPh>
    <rPh sb="2" eb="4">
      <t>キュウジツ</t>
    </rPh>
    <rPh sb="4" eb="5">
      <t>スウ</t>
    </rPh>
    <phoneticPr fontId="4"/>
  </si>
  <si>
    <t>○</t>
    <phoneticPr fontId="4"/>
  </si>
  <si>
    <t>２)</t>
    <phoneticPr fontId="5"/>
  </si>
  <si>
    <r>
      <t xml:space="preserve">機器管理費
</t>
    </r>
    <r>
      <rPr>
        <sz val="10"/>
        <rFont val="ＭＳ Ｐゴシック"/>
        <family val="3"/>
        <charset val="128"/>
      </rPr>
      <t>（電気通信設備工事の場合）</t>
    </r>
    <rPh sb="0" eb="2">
      <t>キキ</t>
    </rPh>
    <rPh sb="2" eb="5">
      <t>カンリヒ</t>
    </rPh>
    <phoneticPr fontId="5"/>
  </si>
  <si>
    <t>○</t>
    <phoneticPr fontId="4"/>
  </si>
  <si>
    <t>理由回答欄</t>
    <phoneticPr fontId="5"/>
  </si>
  <si>
    <t>121</t>
  </si>
  <si>
    <t>601</t>
  </si>
  <si>
    <t>602</t>
  </si>
  <si>
    <t>603</t>
  </si>
  <si>
    <t>604</t>
  </si>
  <si>
    <t>123</t>
  </si>
  <si>
    <t>611</t>
  </si>
  <si>
    <t>612</t>
  </si>
  <si>
    <t>613</t>
  </si>
  <si>
    <t>614</t>
  </si>
  <si>
    <t>615</t>
  </si>
  <si>
    <r>
      <t>C</t>
    </r>
    <r>
      <rPr>
        <sz val="11"/>
        <rFont val="ＭＳ Ｐゴシック"/>
        <family val="3"/>
        <charset val="128"/>
      </rPr>
      <t>ountBlank</t>
    </r>
    <phoneticPr fontId="5"/>
  </si>
  <si>
    <t>未入力可
項目数</t>
    <rPh sb="0" eb="3">
      <t>ミニュウリョク</t>
    </rPh>
    <rPh sb="3" eb="4">
      <t>カ</t>
    </rPh>
    <rPh sb="5" eb="8">
      <t>コウモクスウ</t>
    </rPh>
    <phoneticPr fontId="5"/>
  </si>
  <si>
    <t>50%判定値</t>
    <rPh sb="3" eb="5">
      <t>ハンテイ</t>
    </rPh>
    <rPh sb="5" eb="6">
      <t>アタイ</t>
    </rPh>
    <phoneticPr fontId="5"/>
  </si>
  <si>
    <t>①直接工事費判定</t>
    <rPh sb="1" eb="3">
      <t>チョクセツ</t>
    </rPh>
    <rPh sb="3" eb="6">
      <t>コウジヒ</t>
    </rPh>
    <rPh sb="6" eb="8">
      <t>ハンテイ</t>
    </rPh>
    <phoneticPr fontId="4"/>
  </si>
  <si>
    <t>①直接工事費</t>
    <rPh sb="1" eb="3">
      <t>チョクセツ</t>
    </rPh>
    <rPh sb="3" eb="6">
      <t>コウジヒ</t>
    </rPh>
    <phoneticPr fontId="4"/>
  </si>
  <si>
    <t>(1)共通仮設費</t>
    <rPh sb="3" eb="5">
      <t>キョウツウ</t>
    </rPh>
    <rPh sb="5" eb="7">
      <t>カセツ</t>
    </rPh>
    <rPh sb="7" eb="8">
      <t>ヒ</t>
    </rPh>
    <phoneticPr fontId="4"/>
  </si>
  <si>
    <t>○</t>
    <phoneticPr fontId="4"/>
  </si>
  <si>
    <t>管理区分計</t>
    <rPh sb="0" eb="2">
      <t>カンリ</t>
    </rPh>
    <rPh sb="2" eb="4">
      <t>クブン</t>
    </rPh>
    <rPh sb="4" eb="5">
      <t>ケイ</t>
    </rPh>
    <phoneticPr fontId="4"/>
  </si>
  <si>
    <t>休日数計＋</t>
    <rPh sb="0" eb="3">
      <t>キュウジツスウ</t>
    </rPh>
    <rPh sb="3" eb="4">
      <t>ケイ</t>
    </rPh>
    <phoneticPr fontId="4"/>
  </si>
  <si>
    <t>休日数－</t>
    <rPh sb="0" eb="3">
      <t>キュウジツスウ</t>
    </rPh>
    <phoneticPr fontId="4"/>
  </si>
  <si>
    <t>単品スライド</t>
    <rPh sb="0" eb="2">
      <t>タンピン</t>
    </rPh>
    <phoneticPr fontId="5"/>
  </si>
  <si>
    <t>全体・インフレ</t>
    <rPh sb="0" eb="2">
      <t>ゼンタイ</t>
    </rPh>
    <phoneticPr fontId="5"/>
  </si>
  <si>
    <t>本シートは、入力内容を確認するシートです。
入力修正が必要な場合は、各入力シートで修正してください。</t>
    <phoneticPr fontId="5"/>
  </si>
  <si>
    <t>１．共通仮設費積算対象金額と共通仮設費率分の確認</t>
    <rPh sb="2" eb="4">
      <t>キョウツウ</t>
    </rPh>
    <rPh sb="4" eb="6">
      <t>カセツ</t>
    </rPh>
    <rPh sb="6" eb="7">
      <t>ヒ</t>
    </rPh>
    <rPh sb="7" eb="9">
      <t>セキサン</t>
    </rPh>
    <rPh sb="9" eb="11">
      <t>タイショウ</t>
    </rPh>
    <rPh sb="11" eb="13">
      <t>キンガク</t>
    </rPh>
    <rPh sb="14" eb="16">
      <t>キョウツウ</t>
    </rPh>
    <rPh sb="16" eb="18">
      <t>カセツ</t>
    </rPh>
    <rPh sb="18" eb="19">
      <t>ヒ</t>
    </rPh>
    <rPh sb="19" eb="20">
      <t>リツ</t>
    </rPh>
    <rPh sb="20" eb="21">
      <t>ブン</t>
    </rPh>
    <rPh sb="22" eb="24">
      <t>カクニン</t>
    </rPh>
    <phoneticPr fontId="5"/>
  </si>
  <si>
    <t>　　・入力金額と自動計算値が一致しているか確認してください。</t>
    <rPh sb="3" eb="5">
      <t>ニュウリョク</t>
    </rPh>
    <rPh sb="5" eb="7">
      <t>キンガク</t>
    </rPh>
    <rPh sb="8" eb="10">
      <t>ジドウ</t>
    </rPh>
    <rPh sb="10" eb="13">
      <t>ケイサンチ</t>
    </rPh>
    <rPh sb="14" eb="16">
      <t>イッチ</t>
    </rPh>
    <rPh sb="21" eb="23">
      <t>カクニン</t>
    </rPh>
    <phoneticPr fontId="5"/>
  </si>
  <si>
    <t>　　・チェック結果欄に「エラー」が表示される場合は、「エラーの確認内容」欄及び、自動計算結果（自動計算値）を参考に入力金額を</t>
    <rPh sb="7" eb="9">
      <t>ケッカ</t>
    </rPh>
    <rPh sb="9" eb="10">
      <t>ラン</t>
    </rPh>
    <rPh sb="17" eb="19">
      <t>ヒョウジ</t>
    </rPh>
    <rPh sb="22" eb="24">
      <t>バアイ</t>
    </rPh>
    <rPh sb="31" eb="33">
      <t>カクニン</t>
    </rPh>
    <rPh sb="33" eb="35">
      <t>ナイヨウ</t>
    </rPh>
    <rPh sb="36" eb="37">
      <t>ラン</t>
    </rPh>
    <rPh sb="37" eb="38">
      <t>オヨ</t>
    </rPh>
    <rPh sb="40" eb="42">
      <t>ジドウ</t>
    </rPh>
    <rPh sb="42" eb="44">
      <t>ケイサン</t>
    </rPh>
    <rPh sb="44" eb="46">
      <t>ケッカ</t>
    </rPh>
    <rPh sb="47" eb="49">
      <t>ジドウ</t>
    </rPh>
    <rPh sb="49" eb="52">
      <t>ケイサンチ</t>
    </rPh>
    <rPh sb="54" eb="56">
      <t>サンコウ</t>
    </rPh>
    <rPh sb="57" eb="59">
      <t>ニュウリョク</t>
    </rPh>
    <rPh sb="59" eb="61">
      <t>キンガク</t>
    </rPh>
    <phoneticPr fontId="5"/>
  </si>
  <si>
    <t>　　　確認してください。</t>
    <phoneticPr fontId="5"/>
  </si>
  <si>
    <t>　　・入力金額確認後、自動計算値と一致しない場合は、理由回答欄に理由を入力してください。</t>
    <rPh sb="3" eb="5">
      <t>ニュウリョク</t>
    </rPh>
    <rPh sb="5" eb="7">
      <t>キンガク</t>
    </rPh>
    <rPh sb="7" eb="9">
      <t>カクニン</t>
    </rPh>
    <rPh sb="9" eb="10">
      <t>ゴ</t>
    </rPh>
    <rPh sb="28" eb="30">
      <t>カイトウ</t>
    </rPh>
    <rPh sb="30" eb="31">
      <t>ラン</t>
    </rPh>
    <rPh sb="32" eb="34">
      <t>リユウ</t>
    </rPh>
    <phoneticPr fontId="5"/>
  </si>
  <si>
    <t>入力金額
（千円）</t>
    <rPh sb="0" eb="2">
      <t>ニュウリョク</t>
    </rPh>
    <rPh sb="2" eb="4">
      <t>キンガク</t>
    </rPh>
    <rPh sb="6" eb="8">
      <t>センエン</t>
    </rPh>
    <phoneticPr fontId="5"/>
  </si>
  <si>
    <t>自動計算値
（千円）</t>
    <rPh sb="0" eb="2">
      <t>ジドウ</t>
    </rPh>
    <rPh sb="2" eb="5">
      <t>ケイサンチ</t>
    </rPh>
    <rPh sb="7" eb="9">
      <t>センエン</t>
    </rPh>
    <phoneticPr fontId="5"/>
  </si>
  <si>
    <t>ﾁｪｯｸ結果</t>
    <rPh sb="4" eb="6">
      <t>ケッカ</t>
    </rPh>
    <phoneticPr fontId="5"/>
  </si>
  <si>
    <t>エラーの確認内容</t>
    <rPh sb="4" eb="6">
      <t>カクニン</t>
    </rPh>
    <rPh sb="6" eb="8">
      <t>ナイヨウ</t>
    </rPh>
    <phoneticPr fontId="5"/>
  </si>
  <si>
    <t>理由回答欄</t>
    <rPh sb="0" eb="2">
      <t>リユウ</t>
    </rPh>
    <rPh sb="2" eb="4">
      <t>カイトウ</t>
    </rPh>
    <rPh sb="4" eb="5">
      <t>ラン</t>
    </rPh>
    <phoneticPr fontId="5"/>
  </si>
  <si>
    <t>　共通仮設費積算対象金額</t>
    <phoneticPr fontId="5"/>
  </si>
  <si>
    <t>共通仮設費積算対象金額が未入力です。
「工事費」シートで「共通仮設費積算対象金額」を入力してください。</t>
    <rPh sb="0" eb="2">
      <t>キョウツウ</t>
    </rPh>
    <rPh sb="2" eb="5">
      <t>カセツヒ</t>
    </rPh>
    <rPh sb="5" eb="7">
      <t>セキサン</t>
    </rPh>
    <rPh sb="7" eb="9">
      <t>タイショウ</t>
    </rPh>
    <rPh sb="9" eb="11">
      <t>キンガク</t>
    </rPh>
    <rPh sb="12" eb="15">
      <t>ミニュウリョク</t>
    </rPh>
    <rPh sb="20" eb="23">
      <t>コウジヒ</t>
    </rPh>
    <rPh sb="29" eb="31">
      <t>キョウツウ</t>
    </rPh>
    <rPh sb="31" eb="34">
      <t>カセツヒ</t>
    </rPh>
    <rPh sb="34" eb="36">
      <t>セキサン</t>
    </rPh>
    <rPh sb="36" eb="38">
      <t>タイショウ</t>
    </rPh>
    <rPh sb="38" eb="40">
      <t>キンガク</t>
    </rPh>
    <rPh sb="42" eb="44">
      <t>ニュウリョク</t>
    </rPh>
    <phoneticPr fontId="5"/>
  </si>
  <si>
    <t>共通仮設費積算対象金額が「0」です。
「工事費」シートで金額を入力してください。</t>
    <rPh sb="0" eb="2">
      <t>キョウツウ</t>
    </rPh>
    <rPh sb="2" eb="5">
      <t>カセツヒ</t>
    </rPh>
    <rPh sb="5" eb="7">
      <t>セキサン</t>
    </rPh>
    <rPh sb="7" eb="9">
      <t>タイショウ</t>
    </rPh>
    <rPh sb="9" eb="11">
      <t>キンガク</t>
    </rPh>
    <rPh sb="20" eb="23">
      <t>コウジヒ</t>
    </rPh>
    <rPh sb="28" eb="30">
      <t>キンガク</t>
    </rPh>
    <rPh sb="31" eb="33">
      <t>ニュウリョク</t>
    </rPh>
    <phoneticPr fontId="5"/>
  </si>
  <si>
    <t>自動計算値と一致していません。
「直接工事費」、「支給材料費」、「無償貸与機械等評価額」、「事業損失防止施設費」、「準備費中の処分費」、「共通仮設費非対象金額」の入力金額に間違いがないか確認してください。</t>
    <rPh sb="0" eb="2">
      <t>ジドウ</t>
    </rPh>
    <rPh sb="2" eb="5">
      <t>ケイサンチ</t>
    </rPh>
    <rPh sb="6" eb="8">
      <t>イッチ</t>
    </rPh>
    <rPh sb="78" eb="79">
      <t>ガク</t>
    </rPh>
    <rPh sb="81" eb="83">
      <t>ニュウリョク</t>
    </rPh>
    <rPh sb="83" eb="85">
      <t>キンガク</t>
    </rPh>
    <rPh sb="86" eb="88">
      <t>マチガ</t>
    </rPh>
    <rPh sb="93" eb="95">
      <t>カクニン</t>
    </rPh>
    <phoneticPr fontId="5"/>
  </si>
  <si>
    <t>　共通仮設費の率分</t>
    <rPh sb="7" eb="8">
      <t>リツ</t>
    </rPh>
    <rPh sb="8" eb="9">
      <t>ブン</t>
    </rPh>
    <phoneticPr fontId="5"/>
  </si>
  <si>
    <t>共通仮設費の率分が未入力です。
「工事費」シートで「共通仮設費の率分」を入力してください。</t>
    <rPh sb="0" eb="2">
      <t>キョウツウ</t>
    </rPh>
    <rPh sb="2" eb="5">
      <t>カセツヒ</t>
    </rPh>
    <rPh sb="6" eb="7">
      <t>リツ</t>
    </rPh>
    <rPh sb="7" eb="8">
      <t>ブン</t>
    </rPh>
    <rPh sb="9" eb="12">
      <t>ミニュウリョク</t>
    </rPh>
    <rPh sb="17" eb="20">
      <t>コウジヒ</t>
    </rPh>
    <rPh sb="26" eb="28">
      <t>キョウツウ</t>
    </rPh>
    <rPh sb="28" eb="31">
      <t>カセツヒ</t>
    </rPh>
    <rPh sb="32" eb="33">
      <t>リツ</t>
    </rPh>
    <rPh sb="33" eb="34">
      <t>ブン</t>
    </rPh>
    <rPh sb="36" eb="38">
      <t>ニュウリョク</t>
    </rPh>
    <phoneticPr fontId="5"/>
  </si>
  <si>
    <t>共通仮設費の率分が「0」です。
「工事費」シートで金額を入力してください。</t>
    <rPh sb="0" eb="2">
      <t>キョウツウ</t>
    </rPh>
    <rPh sb="2" eb="5">
      <t>カセツヒ</t>
    </rPh>
    <rPh sb="6" eb="7">
      <t>リツ</t>
    </rPh>
    <rPh sb="7" eb="8">
      <t>ブン</t>
    </rPh>
    <rPh sb="17" eb="20">
      <t>コウジヒ</t>
    </rPh>
    <rPh sb="25" eb="27">
      <t>キンガク</t>
    </rPh>
    <rPh sb="28" eb="30">
      <t>ニュウリョク</t>
    </rPh>
    <phoneticPr fontId="5"/>
  </si>
  <si>
    <t>工種が未入力です。
「一般事項」シートで工種を入力してください。</t>
    <rPh sb="0" eb="2">
      <t>コウシュ</t>
    </rPh>
    <rPh sb="3" eb="6">
      <t>ミニュウリョク</t>
    </rPh>
    <rPh sb="11" eb="13">
      <t>イッパン</t>
    </rPh>
    <rPh sb="13" eb="15">
      <t>ジコウ</t>
    </rPh>
    <rPh sb="20" eb="22">
      <t>コウシュ</t>
    </rPh>
    <rPh sb="23" eb="25">
      <t>ニュウリョク</t>
    </rPh>
    <phoneticPr fontId="5"/>
  </si>
  <si>
    <t>地域特性が未入力です。
「一般事項」シートで地域特性を入力してください。</t>
    <rPh sb="0" eb="2">
      <t>チイキ</t>
    </rPh>
    <rPh sb="2" eb="4">
      <t>トクセイ</t>
    </rPh>
    <rPh sb="5" eb="8">
      <t>ミニュウリョク</t>
    </rPh>
    <rPh sb="13" eb="15">
      <t>イッパン</t>
    </rPh>
    <rPh sb="15" eb="17">
      <t>ジコウ</t>
    </rPh>
    <rPh sb="22" eb="24">
      <t>チイキ</t>
    </rPh>
    <rPh sb="24" eb="26">
      <t>トクセイ</t>
    </rPh>
    <rPh sb="27" eb="29">
      <t>ニュウリョク</t>
    </rPh>
    <phoneticPr fontId="5"/>
  </si>
  <si>
    <t>自動計算値と一致していません。
「工種コード」、「地域特性コード」、「海上輸送補正」、「共通仮設費積算対象金額」、「共通仮設費の率分」の入力金額に間違いがないか確認してください。</t>
    <rPh sb="0" eb="2">
      <t>ジドウ</t>
    </rPh>
    <rPh sb="2" eb="5">
      <t>ケイサンチ</t>
    </rPh>
    <rPh sb="6" eb="8">
      <t>イッチ</t>
    </rPh>
    <rPh sb="17" eb="19">
      <t>コウシュ</t>
    </rPh>
    <rPh sb="25" eb="27">
      <t>チイキ</t>
    </rPh>
    <rPh sb="27" eb="29">
      <t>トクセイ</t>
    </rPh>
    <rPh sb="35" eb="37">
      <t>カイジョウ</t>
    </rPh>
    <rPh sb="37" eb="39">
      <t>ユソウ</t>
    </rPh>
    <rPh sb="39" eb="41">
      <t>ホセイ</t>
    </rPh>
    <rPh sb="44" eb="46">
      <t>キョウツウ</t>
    </rPh>
    <rPh sb="46" eb="49">
      <t>カセツヒ</t>
    </rPh>
    <rPh sb="49" eb="51">
      <t>セキサン</t>
    </rPh>
    <rPh sb="51" eb="53">
      <t>タイショウ</t>
    </rPh>
    <rPh sb="53" eb="55">
      <t>キンガク</t>
    </rPh>
    <rPh sb="58" eb="60">
      <t>キョウツウ</t>
    </rPh>
    <rPh sb="60" eb="63">
      <t>カセツヒ</t>
    </rPh>
    <rPh sb="64" eb="65">
      <t>リツ</t>
    </rPh>
    <rPh sb="65" eb="66">
      <t>ブン</t>
    </rPh>
    <rPh sb="68" eb="70">
      <t>ニュウリョク</t>
    </rPh>
    <rPh sb="70" eb="72">
      <t>キンガク</t>
    </rPh>
    <rPh sb="73" eb="75">
      <t>マチガ</t>
    </rPh>
    <rPh sb="80" eb="82">
      <t>カクニン</t>
    </rPh>
    <phoneticPr fontId="5"/>
  </si>
  <si>
    <t>入力している工種には大都市補正の基準がありません。
「一般事項」シートで入力している「工種コード」及び「地域特性コード」を確認してください。</t>
    <rPh sb="0" eb="2">
      <t>ニュウリョク</t>
    </rPh>
    <rPh sb="6" eb="8">
      <t>コウシュ</t>
    </rPh>
    <rPh sb="10" eb="13">
      <t>ダイトシ</t>
    </rPh>
    <rPh sb="13" eb="15">
      <t>ホセイ</t>
    </rPh>
    <rPh sb="16" eb="18">
      <t>キジュン</t>
    </rPh>
    <rPh sb="36" eb="38">
      <t>ニュウリョク</t>
    </rPh>
    <rPh sb="49" eb="50">
      <t>オヨ</t>
    </rPh>
    <rPh sb="52" eb="54">
      <t>チイキ</t>
    </rPh>
    <rPh sb="54" eb="56">
      <t>トクセイ</t>
    </rPh>
    <rPh sb="61" eb="63">
      <t>カクニン</t>
    </rPh>
    <phoneticPr fontId="5"/>
  </si>
  <si>
    <t>※「共通仮設費積算対象金額」自動計算結果</t>
    <rPh sb="18" eb="20">
      <t>ケッカ</t>
    </rPh>
    <phoneticPr fontId="5"/>
  </si>
  <si>
    <t>　　「共通仮設費積算対象金額」自動計算値＝「直接工事費」+「支給材料費」+「無償貸与機械等評価額」+「事業損失防止施設費」</t>
    <rPh sb="15" eb="17">
      <t>ジドウ</t>
    </rPh>
    <rPh sb="17" eb="20">
      <t>ケイサンチ</t>
    </rPh>
    <phoneticPr fontId="5"/>
  </si>
  <si>
    <t>　　　　　　　　　　　　　　　　　　　　　　　　　　　　　+「準備費中の処分費」-「共通仮設費の対象額に含めない費用」</t>
    <phoneticPr fontId="5"/>
  </si>
  <si>
    <t>※「共通仮設費の率分」自動計算結果</t>
    <rPh sb="8" eb="9">
      <t>リツ</t>
    </rPh>
    <rPh sb="9" eb="10">
      <t>ブン</t>
    </rPh>
    <rPh sb="15" eb="17">
      <t>ケッカ</t>
    </rPh>
    <phoneticPr fontId="5"/>
  </si>
  <si>
    <t>入力シート</t>
    <rPh sb="0" eb="2">
      <t>ニュウリョク</t>
    </rPh>
    <phoneticPr fontId="5"/>
  </si>
  <si>
    <t>入力値</t>
    <phoneticPr fontId="5"/>
  </si>
  <si>
    <t>工種コード</t>
    <rPh sb="0" eb="2">
      <t>コウシュ</t>
    </rPh>
    <phoneticPr fontId="5"/>
  </si>
  <si>
    <t>←未入力です。「一般事項」シートで「工種」を入力してください。</t>
    <rPh sb="1" eb="4">
      <t>ミニュウリョク</t>
    </rPh>
    <rPh sb="8" eb="10">
      <t>イッパン</t>
    </rPh>
    <rPh sb="10" eb="12">
      <t>ジコウ</t>
    </rPh>
    <rPh sb="18" eb="20">
      <t>コウシュ</t>
    </rPh>
    <rPh sb="22" eb="24">
      <t>ニュウリョク</t>
    </rPh>
    <phoneticPr fontId="5"/>
  </si>
  <si>
    <t>←設計書の「積算工種区分」と入力値が一致しているか確認してください。</t>
    <rPh sb="14" eb="16">
      <t>ニュウリョク</t>
    </rPh>
    <rPh sb="16" eb="17">
      <t>チ</t>
    </rPh>
    <phoneticPr fontId="5"/>
  </si>
  <si>
    <t>地域特性コード</t>
    <phoneticPr fontId="5"/>
  </si>
  <si>
    <t>←未入力です。「一般事項」シートで「地域特性」を入力してください。</t>
    <rPh sb="1" eb="4">
      <t>ミニュウリョク</t>
    </rPh>
    <rPh sb="8" eb="10">
      <t>イッパン</t>
    </rPh>
    <rPh sb="10" eb="12">
      <t>ジコウ</t>
    </rPh>
    <rPh sb="18" eb="20">
      <t>チイキ</t>
    </rPh>
    <rPh sb="20" eb="22">
      <t>トクセイ</t>
    </rPh>
    <rPh sb="24" eb="26">
      <t>ニュウリョク</t>
    </rPh>
    <phoneticPr fontId="5"/>
  </si>
  <si>
    <t>←設計書の「施工地域区分」と入力値が一致しているか確認してください。</t>
    <rPh sb="14" eb="16">
      <t>ニュウリョク</t>
    </rPh>
    <rPh sb="16" eb="17">
      <t>チ</t>
    </rPh>
    <phoneticPr fontId="5"/>
  </si>
  <si>
    <t>除雪工事補正
　補正係数・区分</t>
    <rPh sb="0" eb="2">
      <t>ジョセツ</t>
    </rPh>
    <rPh sb="2" eb="4">
      <t>コウジ</t>
    </rPh>
    <rPh sb="4" eb="6">
      <t>ホセイ</t>
    </rPh>
    <rPh sb="8" eb="10">
      <t>ホセイ</t>
    </rPh>
    <rPh sb="10" eb="12">
      <t>ケイスウ</t>
    </rPh>
    <rPh sb="13" eb="15">
      <t>クブン</t>
    </rPh>
    <phoneticPr fontId="5"/>
  </si>
  <si>
    <t>←未入力です。「一般事項」シートで除雪工事補正の「補正係数・区分」を入力してください。</t>
    <rPh sb="1" eb="4">
      <t>ミニュウリョク</t>
    </rPh>
    <rPh sb="8" eb="10">
      <t>イッパン</t>
    </rPh>
    <rPh sb="10" eb="12">
      <t>ジコウ</t>
    </rPh>
    <rPh sb="17" eb="19">
      <t>ジョセツ</t>
    </rPh>
    <rPh sb="19" eb="21">
      <t>コウジ</t>
    </rPh>
    <rPh sb="21" eb="23">
      <t>ホセイ</t>
    </rPh>
    <rPh sb="25" eb="27">
      <t>ホセイ</t>
    </rPh>
    <rPh sb="27" eb="29">
      <t>ケイスウ</t>
    </rPh>
    <rPh sb="30" eb="32">
      <t>クブン</t>
    </rPh>
    <rPh sb="34" eb="36">
      <t>ニュウリョク</t>
    </rPh>
    <phoneticPr fontId="5"/>
  </si>
  <si>
    <t>←除雪工事補正の「補正係数・区分」が設計書と一致しているか確認してください。</t>
    <rPh sb="1" eb="3">
      <t>ジョセツ</t>
    </rPh>
    <rPh sb="3" eb="5">
      <t>コウジ</t>
    </rPh>
    <rPh sb="5" eb="7">
      <t>ホセイ</t>
    </rPh>
    <rPh sb="9" eb="11">
      <t>ホセイ</t>
    </rPh>
    <rPh sb="11" eb="13">
      <t>ケイスウ</t>
    </rPh>
    <rPh sb="14" eb="16">
      <t>クブン</t>
    </rPh>
    <phoneticPr fontId="5"/>
  </si>
  <si>
    <t>←「一般事項」シートの「除雪工事補正の有無」欄が未入力です。</t>
    <rPh sb="22" eb="23">
      <t>ラン</t>
    </rPh>
    <rPh sb="24" eb="27">
      <t>ミニュウリョク</t>
    </rPh>
    <phoneticPr fontId="5"/>
  </si>
  <si>
    <t>海上輸送補正の有無</t>
    <rPh sb="7" eb="9">
      <t>ウム</t>
    </rPh>
    <phoneticPr fontId="5"/>
  </si>
  <si>
    <t>←未入力です。「一般事項」シートで「海岸輸送補正の有無」を入力してください。</t>
    <rPh sb="1" eb="4">
      <t>ミニュウリョク</t>
    </rPh>
    <rPh sb="8" eb="10">
      <t>イッパン</t>
    </rPh>
    <rPh sb="10" eb="12">
      <t>ジコウ</t>
    </rPh>
    <rPh sb="18" eb="20">
      <t>カイガン</t>
    </rPh>
    <rPh sb="20" eb="22">
      <t>ユソウ</t>
    </rPh>
    <rPh sb="22" eb="24">
      <t>ホセイ</t>
    </rPh>
    <rPh sb="25" eb="27">
      <t>ウム</t>
    </rPh>
    <rPh sb="29" eb="31">
      <t>ニュウリョク</t>
    </rPh>
    <phoneticPr fontId="5"/>
  </si>
  <si>
    <t>←「海上輸送補正の有無」が設計書と一致しているか確認してください。</t>
    <rPh sb="9" eb="11">
      <t>ウム</t>
    </rPh>
    <phoneticPr fontId="5"/>
  </si>
  <si>
    <t>仮設営繕物貸与・敷地貸与補正
　補正係数・区分</t>
    <phoneticPr fontId="5"/>
  </si>
  <si>
    <t>←未入力です。「一般事項」シートで仮設営繕物貸与・敷地貸与補正の「補正係数・区分」を入力してください。</t>
    <rPh sb="1" eb="4">
      <t>ミニュウリョク</t>
    </rPh>
    <rPh sb="8" eb="10">
      <t>イッパン</t>
    </rPh>
    <rPh sb="10" eb="12">
      <t>ジコウ</t>
    </rPh>
    <rPh sb="33" eb="35">
      <t>ホセイ</t>
    </rPh>
    <rPh sb="35" eb="37">
      <t>ケイスウ</t>
    </rPh>
    <rPh sb="38" eb="40">
      <t>クブン</t>
    </rPh>
    <rPh sb="42" eb="44">
      <t>ニュウリョク</t>
    </rPh>
    <phoneticPr fontId="5"/>
  </si>
  <si>
    <t>←仮設営繕物貸与・敷地貸与補正の「補正係数・区分」が設計書と一致しているか確認してください。</t>
    <rPh sb="17" eb="19">
      <t>ホセイ</t>
    </rPh>
    <rPh sb="19" eb="21">
      <t>ケイスウ</t>
    </rPh>
    <rPh sb="22" eb="24">
      <t>クブン</t>
    </rPh>
    <phoneticPr fontId="5"/>
  </si>
  <si>
    <t>←「一般事項」シートの「仮設営繕物貸与・敷地貸与補正の有無」欄が未入力です。</t>
    <rPh sb="30" eb="31">
      <t>ラン</t>
    </rPh>
    <rPh sb="32" eb="35">
      <t>ミニュウリョク</t>
    </rPh>
    <phoneticPr fontId="5"/>
  </si>
  <si>
    <t>共通仮設費積算対象金額</t>
    <rPh sb="0" eb="2">
      <t>キョウツウ</t>
    </rPh>
    <rPh sb="2" eb="4">
      <t>カセツ</t>
    </rPh>
    <rPh sb="4" eb="5">
      <t>ヒ</t>
    </rPh>
    <rPh sb="5" eb="7">
      <t>セキサン</t>
    </rPh>
    <rPh sb="7" eb="9">
      <t>タイショウ</t>
    </rPh>
    <rPh sb="9" eb="11">
      <t>キンガク</t>
    </rPh>
    <phoneticPr fontId="5"/>
  </si>
  <si>
    <t>←未入力です。「工事費」シートで「共通仮設費積算対象金額」を入力してください。</t>
    <rPh sb="1" eb="4">
      <t>ミニュウリョク</t>
    </rPh>
    <rPh sb="8" eb="10">
      <t>コウジ</t>
    </rPh>
    <rPh sb="10" eb="11">
      <t>ヒ</t>
    </rPh>
    <rPh sb="30" eb="32">
      <t>ニュウリョク</t>
    </rPh>
    <phoneticPr fontId="5"/>
  </si>
  <si>
    <t>←設計書の「対象金額（非対象額は除く）」と入力値が一致しているか確認してください。</t>
    <rPh sb="1" eb="4">
      <t>セッケイショ</t>
    </rPh>
    <rPh sb="6" eb="8">
      <t>タイショウ</t>
    </rPh>
    <rPh sb="8" eb="10">
      <t>キンガク</t>
    </rPh>
    <rPh sb="11" eb="14">
      <t>ヒタイショウ</t>
    </rPh>
    <rPh sb="14" eb="15">
      <t>ガク</t>
    </rPh>
    <rPh sb="16" eb="17">
      <t>ノゾ</t>
    </rPh>
    <rPh sb="21" eb="23">
      <t>ニュウリョク</t>
    </rPh>
    <rPh sb="23" eb="24">
      <t>チ</t>
    </rPh>
    <rPh sb="25" eb="27">
      <t>イッチ</t>
    </rPh>
    <phoneticPr fontId="5"/>
  </si>
  <si>
    <t>共通仮設費の率分</t>
    <rPh sb="0" eb="2">
      <t>キョウツウ</t>
    </rPh>
    <rPh sb="2" eb="4">
      <t>カセツ</t>
    </rPh>
    <rPh sb="4" eb="5">
      <t>ヒ</t>
    </rPh>
    <rPh sb="6" eb="7">
      <t>リツ</t>
    </rPh>
    <rPh sb="7" eb="8">
      <t>ブン</t>
    </rPh>
    <phoneticPr fontId="5"/>
  </si>
  <si>
    <t>←未入力です。「工事費」シートで「共通仮設費の率分」を入力してください。</t>
    <rPh sb="1" eb="4">
      <t>ミニュウリョク</t>
    </rPh>
    <rPh sb="8" eb="11">
      <t>コウジヒ</t>
    </rPh>
    <rPh sb="27" eb="29">
      <t>ニュウリョク</t>
    </rPh>
    <phoneticPr fontId="5"/>
  </si>
  <si>
    <t>←設計書の「共通仮設費率分の金額」と入力値が一致しているか確認してください。</t>
    <rPh sb="18" eb="20">
      <t>ニュウリョク</t>
    </rPh>
    <rPh sb="20" eb="21">
      <t>チ</t>
    </rPh>
    <phoneticPr fontId="5"/>
  </si>
  <si>
    <t>ファイルの種類</t>
    <rPh sb="5" eb="7">
      <t>シュルイ</t>
    </rPh>
    <phoneticPr fontId="5"/>
  </si>
  <si>
    <t>発注</t>
    <rPh sb="0" eb="2">
      <t>ハッチュウ</t>
    </rPh>
    <phoneticPr fontId="5"/>
  </si>
  <si>
    <t>共通仮設費率（自動計算値）</t>
    <rPh sb="0" eb="2">
      <t>キョウツウ</t>
    </rPh>
    <rPh sb="2" eb="5">
      <t>カセツヒ</t>
    </rPh>
    <rPh sb="5" eb="6">
      <t>リツ</t>
    </rPh>
    <rPh sb="7" eb="9">
      <t>ジドウ</t>
    </rPh>
    <rPh sb="9" eb="12">
      <t>ケイサンチ</t>
    </rPh>
    <phoneticPr fontId="5"/>
  </si>
  <si>
    <t>配布年度</t>
    <rPh sb="0" eb="2">
      <t>ハイフ</t>
    </rPh>
    <rPh sb="2" eb="4">
      <t>ネンド</t>
    </rPh>
    <phoneticPr fontId="5"/>
  </si>
  <si>
    <t>補正係数</t>
    <rPh sb="0" eb="2">
      <t>ホセイ</t>
    </rPh>
    <rPh sb="2" eb="4">
      <t>ケイスウ</t>
    </rPh>
    <phoneticPr fontId="5"/>
  </si>
  <si>
    <t>地方港湾（２）</t>
  </si>
  <si>
    <t>海上輸送補正の有無No</t>
    <rPh sb="0" eb="2">
      <t>カイジョウ</t>
    </rPh>
    <rPh sb="2" eb="4">
      <t>ユソウ</t>
    </rPh>
    <rPh sb="4" eb="6">
      <t>ホセイ</t>
    </rPh>
    <rPh sb="7" eb="9">
      <t>ウム</t>
    </rPh>
    <phoneticPr fontId="5"/>
  </si>
  <si>
    <t>仮設営繕物貸与敷地貸与補正No</t>
    <rPh sb="0" eb="2">
      <t>カセツ</t>
    </rPh>
    <rPh sb="2" eb="4">
      <t>エイゼン</t>
    </rPh>
    <rPh sb="4" eb="5">
      <t>ブツ</t>
    </rPh>
    <rPh sb="5" eb="7">
      <t>タイヨ</t>
    </rPh>
    <rPh sb="7" eb="9">
      <t>シキチ</t>
    </rPh>
    <rPh sb="9" eb="11">
      <t>タイヨ</t>
    </rPh>
    <rPh sb="11" eb="13">
      <t>ホセイ</t>
    </rPh>
    <phoneticPr fontId="5"/>
  </si>
  <si>
    <t>海上輸送補正</t>
    <rPh sb="0" eb="2">
      <t>カイジョウ</t>
    </rPh>
    <rPh sb="2" eb="4">
      <t>ユソウ</t>
    </rPh>
    <rPh sb="4" eb="6">
      <t>ホセイ</t>
    </rPh>
    <phoneticPr fontId="5"/>
  </si>
  <si>
    <t>河川工事</t>
  </si>
  <si>
    <t>河川・道路構造物工事</t>
  </si>
  <si>
    <t>海岸工事</t>
  </si>
  <si>
    <t>道路改良工事</t>
  </si>
  <si>
    <t>鋼橋架設工事</t>
  </si>
  <si>
    <t>砂防・地すべり等工事</t>
  </si>
  <si>
    <t>公園工事</t>
  </si>
  <si>
    <t>電線共同溝工事</t>
  </si>
  <si>
    <t>情報ボックス工事</t>
  </si>
  <si>
    <t>道路維持工事</t>
  </si>
  <si>
    <t>河川維持工事</t>
  </si>
  <si>
    <t>トンネル工事</t>
  </si>
  <si>
    <t>下水道工事（１）</t>
  </si>
  <si>
    <t>下水道工事（３）</t>
  </si>
  <si>
    <t>ほ場整備工事</t>
  </si>
  <si>
    <t>農用地造成工事</t>
  </si>
  <si>
    <t>農道工事</t>
  </si>
  <si>
    <t>水路トンネル工事</t>
  </si>
  <si>
    <t>水路工事</t>
  </si>
  <si>
    <t>河川及び排水路工事</t>
  </si>
  <si>
    <t>管水路工事</t>
  </si>
  <si>
    <t>畑かん施設工事</t>
  </si>
  <si>
    <t>コンクリート補修工事</t>
    <rPh sb="6" eb="8">
      <t>ホシュウ</t>
    </rPh>
    <rPh sb="8" eb="10">
      <t>コウジ</t>
    </rPh>
    <phoneticPr fontId="5"/>
  </si>
  <si>
    <t>港湾浚渫工事</t>
  </si>
  <si>
    <t>港湾構造物工事</t>
  </si>
  <si>
    <t>空港用地造成工事</t>
  </si>
  <si>
    <t>整地</t>
  </si>
  <si>
    <t>舗装</t>
  </si>
  <si>
    <t>道路等</t>
  </si>
  <si>
    <t>排水</t>
  </si>
  <si>
    <t>複合</t>
  </si>
  <si>
    <t>一般土工</t>
  </si>
  <si>
    <t>橋梁下部</t>
  </si>
  <si>
    <t>鉄骨橋梁</t>
  </si>
  <si>
    <t>ＰＣ橋梁</t>
  </si>
  <si>
    <t>遮音壁・標識等</t>
  </si>
  <si>
    <t>維持</t>
  </si>
  <si>
    <t>トンネル</t>
  </si>
  <si>
    <t>トンネルと他工種</t>
  </si>
  <si>
    <t>KSS用の枠</t>
    <rPh sb="3" eb="4">
      <t>ヨウ</t>
    </rPh>
    <rPh sb="5" eb="6">
      <t>ワク</t>
    </rPh>
    <phoneticPr fontId="4"/>
  </si>
  <si>
    <t>仮設営繕物貸与敷地貸与補正有無</t>
    <rPh sb="0" eb="2">
      <t>カセツ</t>
    </rPh>
    <rPh sb="2" eb="4">
      <t>エイゼン</t>
    </rPh>
    <rPh sb="4" eb="5">
      <t>ブツ</t>
    </rPh>
    <rPh sb="5" eb="7">
      <t>タイヨ</t>
    </rPh>
    <rPh sb="7" eb="9">
      <t>シキチ</t>
    </rPh>
    <rPh sb="9" eb="11">
      <t>タイヨ</t>
    </rPh>
    <rPh sb="11" eb="13">
      <t>ホセイ</t>
    </rPh>
    <rPh sb="13" eb="15">
      <t>ウム</t>
    </rPh>
    <phoneticPr fontId="5"/>
  </si>
  <si>
    <t>1：係数「0.95」・宿舎のみ使用</t>
    <phoneticPr fontId="5"/>
  </si>
  <si>
    <t>2：係数「0.95」・事務所のみ使用</t>
    <phoneticPr fontId="5"/>
  </si>
  <si>
    <t>3：係数「0.95」・倉庫のみ使用</t>
    <phoneticPr fontId="5"/>
  </si>
  <si>
    <t>4：係数「0.90」・宿舎と事務所を使用</t>
    <phoneticPr fontId="5"/>
  </si>
  <si>
    <t>5：係数「0.90」・宿舎と倉庫を使用</t>
    <phoneticPr fontId="5"/>
  </si>
  <si>
    <t>6：係数「0.90」・事務所と倉庫を使用</t>
    <phoneticPr fontId="5"/>
  </si>
  <si>
    <t>7：係数「0.85」・宿舎、事務所、倉庫を使用</t>
    <phoneticPr fontId="5"/>
  </si>
  <si>
    <t>Ⅵ</t>
    <phoneticPr fontId="5"/>
  </si>
  <si>
    <t>積算方法の試行（入札不調・不落対策）</t>
    <rPh sb="0" eb="2">
      <t>セキサン</t>
    </rPh>
    <rPh sb="2" eb="4">
      <t>ホウホウ</t>
    </rPh>
    <rPh sb="5" eb="7">
      <t>シコウ</t>
    </rPh>
    <rPh sb="8" eb="10">
      <t>ニュウサツ</t>
    </rPh>
    <rPh sb="10" eb="12">
      <t>フチョウ</t>
    </rPh>
    <rPh sb="13" eb="15">
      <t>フラク</t>
    </rPh>
    <rPh sb="15" eb="17">
      <t>タイサク</t>
    </rPh>
    <phoneticPr fontId="5"/>
  </si>
  <si>
    <t>見積り活用</t>
    <rPh sb="0" eb="2">
      <t>ミツモリ</t>
    </rPh>
    <rPh sb="3" eb="5">
      <t>カツヨウ</t>
    </rPh>
    <phoneticPr fontId="5"/>
  </si>
  <si>
    <t>間接費実績変更</t>
    <rPh sb="0" eb="2">
      <t>カンセツ</t>
    </rPh>
    <rPh sb="2" eb="3">
      <t>ヒ</t>
    </rPh>
    <rPh sb="3" eb="5">
      <t>ジッセキ</t>
    </rPh>
    <rPh sb="5" eb="7">
      <t>ヘンコウ</t>
    </rPh>
    <phoneticPr fontId="5"/>
  </si>
  <si>
    <t>地域外からの労働者確保に要する間接費の設計変更</t>
    <rPh sb="0" eb="2">
      <t>チイキ</t>
    </rPh>
    <rPh sb="2" eb="3">
      <t>ガイ</t>
    </rPh>
    <rPh sb="6" eb="9">
      <t>ロウドウシャ</t>
    </rPh>
    <rPh sb="9" eb="11">
      <t>カクホ</t>
    </rPh>
    <rPh sb="12" eb="13">
      <t>ヨウ</t>
    </rPh>
    <rPh sb="15" eb="17">
      <t>カンセツ</t>
    </rPh>
    <rPh sb="17" eb="18">
      <t>ヒ</t>
    </rPh>
    <rPh sb="19" eb="21">
      <t>セッケイ</t>
    </rPh>
    <rPh sb="21" eb="23">
      <t>ヘンコウ</t>
    </rPh>
    <phoneticPr fontId="5"/>
  </si>
  <si>
    <t>日当り作業量の補正の試行</t>
    <rPh sb="0" eb="2">
      <t>ヒアタ</t>
    </rPh>
    <rPh sb="3" eb="5">
      <t>サギョウ</t>
    </rPh>
    <rPh sb="5" eb="6">
      <t>リョウ</t>
    </rPh>
    <rPh sb="7" eb="9">
      <t>ホセイ</t>
    </rPh>
    <rPh sb="10" eb="12">
      <t>シコウ</t>
    </rPh>
    <phoneticPr fontId="5"/>
  </si>
  <si>
    <t>の使用実績のある場合、デザインされた特注品のかわりに</t>
    <phoneticPr fontId="5"/>
  </si>
  <si>
    <t>※本シートは、電気通信設備工事において、ＬＥＤ照明工事を実施した場合のみご記入ください。</t>
    <rPh sb="1" eb="2">
      <t>ホン</t>
    </rPh>
    <rPh sb="7" eb="9">
      <t>デンキ</t>
    </rPh>
    <rPh sb="9" eb="11">
      <t>ツウシン</t>
    </rPh>
    <rPh sb="11" eb="13">
      <t>セツビ</t>
    </rPh>
    <rPh sb="13" eb="15">
      <t>コウジ</t>
    </rPh>
    <rPh sb="23" eb="25">
      <t>ショウメイ</t>
    </rPh>
    <rPh sb="25" eb="27">
      <t>コウジ</t>
    </rPh>
    <rPh sb="28" eb="30">
      <t>ジッシ</t>
    </rPh>
    <rPh sb="32" eb="34">
      <t>バアイ</t>
    </rPh>
    <rPh sb="37" eb="39">
      <t>キニュウ</t>
    </rPh>
    <phoneticPr fontId="5"/>
  </si>
  <si>
    <t>二次製品（ＬＥＤ照明灯具）に関する調査</t>
    <rPh sb="8" eb="10">
      <t>ショウメイ</t>
    </rPh>
    <rPh sb="10" eb="11">
      <t>トウ</t>
    </rPh>
    <rPh sb="11" eb="12">
      <t>グ</t>
    </rPh>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</si>
  <si>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</si>
  <si>
    <t>１．二次製品（ＬＥＤ照明灯具）材料費</t>
    <rPh sb="10" eb="12">
      <t>ショウメイ</t>
    </rPh>
    <rPh sb="12" eb="13">
      <t>トウ</t>
    </rPh>
    <rPh sb="13" eb="14">
      <t>グ</t>
    </rPh>
    <phoneticPr fontId="5"/>
  </si>
  <si>
    <t>実際に行った積算で、どの間接費工事費率の対象として扱っているかを調査しますので、各項目について入力してください。</t>
    <rPh sb="0" eb="2">
      <t>ジッサイ</t>
    </rPh>
    <rPh sb="3" eb="4">
      <t>オコナ</t>
    </rPh>
    <rPh sb="6" eb="8">
      <t>セキサン</t>
    </rPh>
    <rPh sb="12" eb="14">
      <t>カンセツ</t>
    </rPh>
    <rPh sb="14" eb="15">
      <t>ヒ</t>
    </rPh>
    <rPh sb="15" eb="17">
      <t>コウジ</t>
    </rPh>
    <rPh sb="17" eb="18">
      <t>ヒ</t>
    </rPh>
    <rPh sb="18" eb="19">
      <t>リツ</t>
    </rPh>
    <rPh sb="20" eb="22">
      <t>タイショウ</t>
    </rPh>
    <rPh sb="25" eb="26">
      <t>アツカ</t>
    </rPh>
    <rPh sb="32" eb="34">
      <t>チョウサ</t>
    </rPh>
    <rPh sb="40" eb="41">
      <t>カク</t>
    </rPh>
    <rPh sb="41" eb="43">
      <t>コウモク</t>
    </rPh>
    <rPh sb="47" eb="49">
      <t>ニュウリョク</t>
    </rPh>
    <phoneticPr fontId="5"/>
  </si>
  <si>
    <t>※ＬＥＤ照明灯具の計上範囲は、以下のとおりとする。</t>
    <rPh sb="4" eb="6">
      <t>ショウメイ</t>
    </rPh>
    <rPh sb="6" eb="7">
      <t>トウ</t>
    </rPh>
    <rPh sb="7" eb="8">
      <t>グ</t>
    </rPh>
    <rPh sb="9" eb="11">
      <t>ケイジョウ</t>
    </rPh>
    <rPh sb="11" eb="13">
      <t>ハンイ</t>
    </rPh>
    <rPh sb="15" eb="17">
      <t>イカ</t>
    </rPh>
    <phoneticPr fontId="5"/>
  </si>
  <si>
    <t>　照明器具、ＬＥＤモジュール、ＬＥＤモジュール制御装置</t>
    <rPh sb="1" eb="3">
      <t>ショウメイ</t>
    </rPh>
    <rPh sb="3" eb="5">
      <t>キグ</t>
    </rPh>
    <rPh sb="23" eb="25">
      <t>セイギョ</t>
    </rPh>
    <rPh sb="25" eb="27">
      <t>ソウチ</t>
    </rPh>
    <phoneticPr fontId="5"/>
  </si>
  <si>
    <t>ＬＥＤ照明灯具の積算区分</t>
    <rPh sb="3" eb="5">
      <t>ショウメイ</t>
    </rPh>
    <rPh sb="5" eb="6">
      <t>アカ</t>
    </rPh>
    <rPh sb="6" eb="7">
      <t>グ</t>
    </rPh>
    <rPh sb="8" eb="10">
      <t>セキサン</t>
    </rPh>
    <rPh sb="10" eb="12">
      <t>クブン</t>
    </rPh>
    <phoneticPr fontId="5"/>
  </si>
  <si>
    <t>下記「管理費区分」番号を選択</t>
    <rPh sb="0" eb="2">
      <t>カキ</t>
    </rPh>
    <rPh sb="3" eb="6">
      <t>カンリヒ</t>
    </rPh>
    <rPh sb="6" eb="8">
      <t>クブン</t>
    </rPh>
    <rPh sb="9" eb="11">
      <t>バンゴウ</t>
    </rPh>
    <rPh sb="12" eb="14">
      <t>センタク</t>
    </rPh>
    <phoneticPr fontId="5"/>
  </si>
  <si>
    <t>工事費に含まれるＬＤＥ照明灯具の材料費</t>
    <rPh sb="0" eb="3">
      <t>コウジヒ</t>
    </rPh>
    <rPh sb="4" eb="5">
      <t>フク</t>
    </rPh>
    <rPh sb="11" eb="13">
      <t>ショウメイ</t>
    </rPh>
    <rPh sb="13" eb="14">
      <t>アカ</t>
    </rPh>
    <rPh sb="14" eb="15">
      <t>グ</t>
    </rPh>
    <rPh sb="16" eb="18">
      <t>ザイリョウ</t>
    </rPh>
    <rPh sb="18" eb="19">
      <t>ヒ</t>
    </rPh>
    <phoneticPr fontId="5"/>
  </si>
  <si>
    <t>（単位：千円）</t>
    <rPh sb="1" eb="3">
      <t>タンイ</t>
    </rPh>
    <rPh sb="4" eb="5">
      <t>セン</t>
    </rPh>
    <rPh sb="5" eb="6">
      <t>エン</t>
    </rPh>
    <phoneticPr fontId="5"/>
  </si>
  <si>
    <t>管理費区分</t>
    <rPh sb="0" eb="3">
      <t>カンリヒ</t>
    </rPh>
    <rPh sb="3" eb="5">
      <t>クブン</t>
    </rPh>
    <phoneticPr fontId="5"/>
  </si>
  <si>
    <t>全ての間接費の対象にする場合</t>
    <rPh sb="0" eb="1">
      <t>スベ</t>
    </rPh>
    <rPh sb="3" eb="5">
      <t>カンセツ</t>
    </rPh>
    <rPh sb="5" eb="6">
      <t>ヒ</t>
    </rPh>
    <rPh sb="7" eb="9">
      <t>タイショウ</t>
    </rPh>
    <rPh sb="12" eb="14">
      <t>バアイ</t>
    </rPh>
    <phoneticPr fontId="5"/>
  </si>
  <si>
    <t>現場管理費・一般管理費のみ対象とする場合</t>
    <rPh sb="0" eb="2">
      <t>ゲンバ</t>
    </rPh>
    <rPh sb="2" eb="5">
      <t>カンリヒ</t>
    </rPh>
    <rPh sb="6" eb="8">
      <t>イッパン</t>
    </rPh>
    <rPh sb="8" eb="11">
      <t>カンリヒ</t>
    </rPh>
    <rPh sb="13" eb="15">
      <t>タイショウ</t>
    </rPh>
    <rPh sb="18" eb="20">
      <t>バアイ</t>
    </rPh>
    <phoneticPr fontId="5"/>
  </si>
  <si>
    <t>一般管理費のみ対象にする場合</t>
    <rPh sb="0" eb="2">
      <t>イッパン</t>
    </rPh>
    <rPh sb="2" eb="5">
      <t>カンリヒ</t>
    </rPh>
    <rPh sb="7" eb="9">
      <t>タイショウ</t>
    </rPh>
    <rPh sb="12" eb="14">
      <t>バアイ</t>
    </rPh>
    <phoneticPr fontId="5"/>
  </si>
  <si>
    <t>全ての間接費の対象にしない場合</t>
    <rPh sb="0" eb="1">
      <t>スベ</t>
    </rPh>
    <rPh sb="3" eb="5">
      <t>カンセツ</t>
    </rPh>
    <rPh sb="5" eb="6">
      <t>ヒ</t>
    </rPh>
    <rPh sb="7" eb="9">
      <t>タイショウ</t>
    </rPh>
    <rPh sb="13" eb="15">
      <t>バアイ</t>
    </rPh>
    <phoneticPr fontId="5"/>
  </si>
  <si>
    <t>技術管理費に該当する項目一覧（参考）</t>
    <rPh sb="0" eb="2">
      <t>ギジュツ</t>
    </rPh>
    <rPh sb="2" eb="5">
      <t>カンリヒ</t>
    </rPh>
    <rPh sb="6" eb="8">
      <t>ガイトウ</t>
    </rPh>
    <rPh sb="10" eb="12">
      <t>コウモク</t>
    </rPh>
    <rPh sb="12" eb="14">
      <t>イチラン</t>
    </rPh>
    <rPh sb="15" eb="17">
      <t>サンコウ</t>
    </rPh>
    <phoneticPr fontId="4"/>
  </si>
  <si>
    <t>項　　　目</t>
    <rPh sb="0" eb="1">
      <t>コウ</t>
    </rPh>
    <rPh sb="4" eb="5">
      <t>メ</t>
    </rPh>
    <phoneticPr fontId="5"/>
  </si>
  <si>
    <t>国交省</t>
    <rPh sb="0" eb="3">
      <t>コッコウショウ</t>
    </rPh>
    <phoneticPr fontId="5"/>
  </si>
  <si>
    <t>旧建設</t>
    <rPh sb="0" eb="1">
      <t>キュウ</t>
    </rPh>
    <rPh sb="1" eb="3">
      <t>ケンセツ</t>
    </rPh>
    <phoneticPr fontId="5"/>
  </si>
  <si>
    <t>1</t>
    <phoneticPr fontId="5"/>
  </si>
  <si>
    <t>品質管理基準に記載されている項目</t>
    <phoneticPr fontId="5"/>
  </si>
  <si>
    <t>○</t>
    <phoneticPr fontId="4"/>
  </si>
  <si>
    <t>2</t>
    <phoneticPr fontId="5"/>
  </si>
  <si>
    <t>出来形管理のための測量、図面作成、写真管理</t>
    <phoneticPr fontId="5"/>
  </si>
  <si>
    <t>3</t>
    <phoneticPr fontId="5"/>
  </si>
  <si>
    <t>工程管理のための資料作成等</t>
    <phoneticPr fontId="5"/>
  </si>
  <si>
    <t>4-1</t>
    <phoneticPr fontId="5"/>
  </si>
  <si>
    <t>完成図、マイクロフィルムの作成及び電子納品等</t>
    <phoneticPr fontId="5"/>
  </si>
  <si>
    <t>4-2</t>
    <phoneticPr fontId="5"/>
  </si>
  <si>
    <t>工事完成書類の作成及び電子納品等</t>
    <rPh sb="0" eb="2">
      <t>コウジ</t>
    </rPh>
    <rPh sb="2" eb="4">
      <t>カンセイ</t>
    </rPh>
    <rPh sb="4" eb="6">
      <t>ショルイ</t>
    </rPh>
    <rPh sb="7" eb="9">
      <t>サクセイ</t>
    </rPh>
    <rPh sb="9" eb="10">
      <t>オヨ</t>
    </rPh>
    <rPh sb="11" eb="13">
      <t>デンシ</t>
    </rPh>
    <rPh sb="13" eb="15">
      <t>ノウヒン</t>
    </rPh>
    <rPh sb="15" eb="16">
      <t>トウ</t>
    </rPh>
    <phoneticPr fontId="4"/>
  </si>
  <si>
    <t>4-3</t>
    <phoneticPr fontId="5"/>
  </si>
  <si>
    <t>工事完成図書類の作成</t>
    <rPh sb="0" eb="2">
      <t>コウジ</t>
    </rPh>
    <rPh sb="2" eb="4">
      <t>カンセイ</t>
    </rPh>
    <rPh sb="4" eb="6">
      <t>トショ</t>
    </rPh>
    <rPh sb="6" eb="7">
      <t>ルイ</t>
    </rPh>
    <rPh sb="8" eb="10">
      <t>サクセイ</t>
    </rPh>
    <phoneticPr fontId="4"/>
  </si>
  <si>
    <t>4-4</t>
    <phoneticPr fontId="5"/>
  </si>
  <si>
    <t>完成図及びマイクロフィルムの作成</t>
    <rPh sb="3" eb="4">
      <t>オヨ</t>
    </rPh>
    <phoneticPr fontId="5"/>
  </si>
  <si>
    <t>5</t>
    <phoneticPr fontId="5"/>
  </si>
  <si>
    <t>建設材料の品質記録保存</t>
    <phoneticPr fontId="5"/>
  </si>
  <si>
    <t>6</t>
    <phoneticPr fontId="5"/>
  </si>
  <si>
    <t>コンクリ－ト塩化物総量規制に伴う試験</t>
    <phoneticPr fontId="5"/>
  </si>
  <si>
    <t>7-1</t>
    <phoneticPr fontId="5"/>
  </si>
  <si>
    <t>ｺﾝｸﾘｰﾄの単位水量測定、ひび割れ調査、ﾃｽﾄﾊﾝﾏｰ強度推定調査</t>
    <rPh sb="7" eb="9">
      <t>タンイ</t>
    </rPh>
    <rPh sb="9" eb="11">
      <t>スイリョウ</t>
    </rPh>
    <rPh sb="11" eb="13">
      <t>ソクテイ</t>
    </rPh>
    <rPh sb="16" eb="17">
      <t>ワ</t>
    </rPh>
    <rPh sb="18" eb="20">
      <t>チョウサ</t>
    </rPh>
    <rPh sb="28" eb="30">
      <t>キョウド</t>
    </rPh>
    <rPh sb="30" eb="32">
      <t>スイテイ</t>
    </rPh>
    <rPh sb="32" eb="34">
      <t>チョウサ</t>
    </rPh>
    <phoneticPr fontId="5"/>
  </si>
  <si>
    <t>7-2</t>
    <phoneticPr fontId="5"/>
  </si>
  <si>
    <t>ｺﾝｸﾘｰﾄのひび割れ調査、ﾃｽﾄﾊﾝﾏｰ強度推定調査</t>
    <rPh sb="9" eb="10">
      <t>ワ</t>
    </rPh>
    <rPh sb="11" eb="13">
      <t>チョウサ</t>
    </rPh>
    <rPh sb="21" eb="23">
      <t>キョウド</t>
    </rPh>
    <rPh sb="23" eb="25">
      <t>スイテイ</t>
    </rPh>
    <rPh sb="25" eb="27">
      <t>チョウサ</t>
    </rPh>
    <phoneticPr fontId="5"/>
  </si>
  <si>
    <t>7-3</t>
    <phoneticPr fontId="5"/>
  </si>
  <si>
    <t>ｺﾝｸﾘｰﾄ非破壊試験及びの単位水量試験査</t>
    <rPh sb="6" eb="9">
      <t>ヒハカイ</t>
    </rPh>
    <rPh sb="9" eb="11">
      <t>シケン</t>
    </rPh>
    <rPh sb="11" eb="12">
      <t>オヨ</t>
    </rPh>
    <rPh sb="14" eb="16">
      <t>タンイ</t>
    </rPh>
    <rPh sb="16" eb="18">
      <t>スイリョウ</t>
    </rPh>
    <rPh sb="18" eb="20">
      <t>シケン</t>
    </rPh>
    <rPh sb="20" eb="21">
      <t>サ</t>
    </rPh>
    <phoneticPr fontId="5"/>
  </si>
  <si>
    <t>8</t>
    <phoneticPr fontId="5"/>
  </si>
  <si>
    <t>ＰＣ上部工、アンカ－工等の緊張管理、グラウト配合試験等</t>
    <phoneticPr fontId="5"/>
  </si>
  <si>
    <t>9</t>
    <phoneticPr fontId="5"/>
  </si>
  <si>
    <t>トンネル工（ＮＡＴＭ）の計測Ａ</t>
    <phoneticPr fontId="5"/>
  </si>
  <si>
    <t>10</t>
    <phoneticPr fontId="5"/>
  </si>
  <si>
    <t>塗装膜厚施工管理</t>
    <phoneticPr fontId="5"/>
  </si>
  <si>
    <t>11</t>
    <phoneticPr fontId="5"/>
  </si>
  <si>
    <t>溶接試験における放射線透過試験</t>
    <rPh sb="0" eb="2">
      <t>ヨウセツ</t>
    </rPh>
    <rPh sb="2" eb="4">
      <t>シケン</t>
    </rPh>
    <rPh sb="8" eb="11">
      <t>ホウシャセン</t>
    </rPh>
    <rPh sb="11" eb="13">
      <t>トウカ</t>
    </rPh>
    <rPh sb="13" eb="15">
      <t>シケン</t>
    </rPh>
    <phoneticPr fontId="5"/>
  </si>
  <si>
    <t>12</t>
    <phoneticPr fontId="5"/>
  </si>
  <si>
    <t>施工管理で使用するＯＡ機器の費用</t>
    <phoneticPr fontId="5"/>
  </si>
  <si>
    <t>13</t>
    <phoneticPr fontId="5"/>
  </si>
  <si>
    <t>品質証明に要した費用</t>
    <rPh sb="0" eb="2">
      <t>ヒンシツ</t>
    </rPh>
    <rPh sb="2" eb="4">
      <t>ショウメイ</t>
    </rPh>
    <rPh sb="5" eb="6">
      <t>ヨウ</t>
    </rPh>
    <rPh sb="8" eb="10">
      <t>ヒヨウ</t>
    </rPh>
    <phoneticPr fontId="5"/>
  </si>
  <si>
    <t>14</t>
    <phoneticPr fontId="5"/>
  </si>
  <si>
    <t>建設発生土情報交換システムの登録</t>
    <rPh sb="0" eb="2">
      <t>ケンセツ</t>
    </rPh>
    <rPh sb="2" eb="4">
      <t>ハッセイ</t>
    </rPh>
    <rPh sb="4" eb="5">
      <t>ド</t>
    </rPh>
    <rPh sb="5" eb="7">
      <t>ジョウホウ</t>
    </rPh>
    <rPh sb="7" eb="9">
      <t>コウカン</t>
    </rPh>
    <rPh sb="14" eb="16">
      <t>トウロク</t>
    </rPh>
    <phoneticPr fontId="5"/>
  </si>
  <si>
    <t>15</t>
    <phoneticPr fontId="5"/>
  </si>
  <si>
    <t>建設副産物情報交換システムの登録</t>
    <rPh sb="0" eb="2">
      <t>ケンセツ</t>
    </rPh>
    <rPh sb="2" eb="5">
      <t>フクサンブツ</t>
    </rPh>
    <rPh sb="5" eb="7">
      <t>ジョウホウ</t>
    </rPh>
    <rPh sb="7" eb="9">
      <t>コウカン</t>
    </rPh>
    <rPh sb="14" eb="16">
      <t>トウロク</t>
    </rPh>
    <phoneticPr fontId="5"/>
  </si>
  <si>
    <t>施工計画書の作成</t>
    <rPh sb="0" eb="2">
      <t>セコウ</t>
    </rPh>
    <rPh sb="2" eb="5">
      <t>ケイカクショ</t>
    </rPh>
    <rPh sb="6" eb="8">
      <t>サクセイ</t>
    </rPh>
    <phoneticPr fontId="5"/>
  </si>
  <si>
    <t>設計変更、工法変更及び数量算出の補助業務</t>
    <rPh sb="0" eb="2">
      <t>セッケイ</t>
    </rPh>
    <rPh sb="2" eb="4">
      <t>ヘンコウ</t>
    </rPh>
    <rPh sb="5" eb="7">
      <t>コウホウ</t>
    </rPh>
    <rPh sb="7" eb="9">
      <t>ヘンコウ</t>
    </rPh>
    <rPh sb="9" eb="10">
      <t>オヨ</t>
    </rPh>
    <rPh sb="11" eb="13">
      <t>スウリョウ</t>
    </rPh>
    <rPh sb="13" eb="15">
      <t>サンシュツ</t>
    </rPh>
    <rPh sb="16" eb="18">
      <t>ホジョ</t>
    </rPh>
    <rPh sb="18" eb="20">
      <t>ギョウム</t>
    </rPh>
    <phoneticPr fontId="5"/>
  </si>
  <si>
    <t>部分払いに必要な出来形検測、測量、数量算出</t>
    <rPh sb="0" eb="2">
      <t>ブブン</t>
    </rPh>
    <rPh sb="2" eb="3">
      <t>ハラ</t>
    </rPh>
    <rPh sb="5" eb="7">
      <t>ヒツヨウ</t>
    </rPh>
    <rPh sb="8" eb="11">
      <t>デキガタ</t>
    </rPh>
    <rPh sb="11" eb="13">
      <t>ケンソク</t>
    </rPh>
    <rPh sb="14" eb="16">
      <t>ソクリョウ</t>
    </rPh>
    <rPh sb="17" eb="19">
      <t>スウリョウ</t>
    </rPh>
    <rPh sb="19" eb="21">
      <t>サンシュツ</t>
    </rPh>
    <phoneticPr fontId="5"/>
  </si>
  <si>
    <t>工事設計変更図面及び工事記録調書の作成</t>
    <rPh sb="0" eb="2">
      <t>コウジ</t>
    </rPh>
    <rPh sb="2" eb="4">
      <t>セッケイ</t>
    </rPh>
    <rPh sb="4" eb="6">
      <t>ヘンコウ</t>
    </rPh>
    <rPh sb="6" eb="8">
      <t>ズメン</t>
    </rPh>
    <rPh sb="8" eb="9">
      <t>オヨ</t>
    </rPh>
    <rPh sb="10" eb="12">
      <t>コウジ</t>
    </rPh>
    <rPh sb="12" eb="14">
      <t>キロク</t>
    </rPh>
    <rPh sb="14" eb="16">
      <t>チョウショ</t>
    </rPh>
    <rPh sb="17" eb="19">
      <t>サクセイ</t>
    </rPh>
    <phoneticPr fontId="4"/>
  </si>
  <si>
    <t>八王子市</t>
  </si>
  <si>
    <t>佐賀市</t>
  </si>
  <si>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</si>
  <si>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</si>
  <si>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</si>
  <si>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</si>
  <si>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</si>
  <si>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</si>
  <si>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</si>
  <si>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</si>
  <si>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</si>
  <si>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</si>
  <si>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</si>
  <si>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</si>
  <si>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</si>
  <si>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</si>
  <si>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</si>
  <si>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</si>
  <si>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</si>
  <si>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</si>
  <si>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</si>
  <si>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</si>
  <si>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</si>
  <si>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</si>
  <si>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</si>
  <si>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011002</t>
  </si>
  <si>
    <t>141003</t>
  </si>
  <si>
    <t>141305</t>
  </si>
  <si>
    <t>231002</t>
  </si>
  <si>
    <t>261009</t>
  </si>
  <si>
    <t>271004</t>
  </si>
  <si>
    <t>281000</t>
  </si>
  <si>
    <t>401005</t>
  </si>
  <si>
    <t>401307</t>
  </si>
  <si>
    <t>341002</t>
  </si>
  <si>
    <t>041009</t>
  </si>
  <si>
    <t>121002</t>
  </si>
  <si>
    <t>111007</t>
  </si>
  <si>
    <t>221007</t>
  </si>
  <si>
    <t>271403</t>
  </si>
  <si>
    <t>151009</t>
  </si>
  <si>
    <t>221309</t>
  </si>
  <si>
    <t>331007</t>
  </si>
  <si>
    <t>141500</t>
  </si>
  <si>
    <t>431001</t>
  </si>
  <si>
    <t>012025</t>
  </si>
  <si>
    <t>012041</t>
  </si>
  <si>
    <t>022012</t>
  </si>
  <si>
    <t>032018</t>
  </si>
  <si>
    <t>052019</t>
  </si>
  <si>
    <t>072036</t>
  </si>
  <si>
    <t>072044</t>
  </si>
  <si>
    <t>092011</t>
  </si>
  <si>
    <t>102016</t>
  </si>
  <si>
    <t>112011</t>
  </si>
  <si>
    <t>122041</t>
  </si>
  <si>
    <t>122173</t>
  </si>
  <si>
    <t>142018</t>
  </si>
  <si>
    <t>162019</t>
  </si>
  <si>
    <t>172014</t>
  </si>
  <si>
    <t>202011</t>
  </si>
  <si>
    <t>212016</t>
  </si>
  <si>
    <t>232017</t>
  </si>
  <si>
    <t>232114</t>
  </si>
  <si>
    <t>232025</t>
  </si>
  <si>
    <t>252018</t>
  </si>
  <si>
    <t>272078</t>
  </si>
  <si>
    <t>272272</t>
  </si>
  <si>
    <t>282014</t>
  </si>
  <si>
    <t>282022</t>
  </si>
  <si>
    <t>282049</t>
  </si>
  <si>
    <t>292010</t>
  </si>
  <si>
    <t>302015</t>
  </si>
  <si>
    <t>332020</t>
  </si>
  <si>
    <t>342076</t>
  </si>
  <si>
    <t>352012</t>
  </si>
  <si>
    <t>372013</t>
  </si>
  <si>
    <t>382019</t>
  </si>
  <si>
    <t>392014</t>
  </si>
  <si>
    <t>402036</t>
  </si>
  <si>
    <t>422011</t>
  </si>
  <si>
    <t>442011</t>
  </si>
  <si>
    <t>452017</t>
  </si>
  <si>
    <t>462012</t>
  </si>
  <si>
    <t>102024</t>
  </si>
  <si>
    <t>272035</t>
  </si>
  <si>
    <t>472018</t>
  </si>
  <si>
    <t>272108</t>
  </si>
  <si>
    <t>112224</t>
  </si>
  <si>
    <t>132012</t>
  </si>
  <si>
    <t>062014</t>
  </si>
  <si>
    <t>082015</t>
  </si>
  <si>
    <t>082201</t>
  </si>
  <si>
    <t>102041</t>
  </si>
  <si>
    <t>102059</t>
  </si>
  <si>
    <t>112020</t>
  </si>
  <si>
    <t>112089</t>
  </si>
  <si>
    <t>112216</t>
  </si>
  <si>
    <t>112143</t>
  </si>
  <si>
    <t>142034</t>
  </si>
  <si>
    <t>142069</t>
  </si>
  <si>
    <t>142077</t>
  </si>
  <si>
    <t>142123</t>
  </si>
  <si>
    <t>142131</t>
  </si>
  <si>
    <t>152021</t>
  </si>
  <si>
    <t>152226</t>
  </si>
  <si>
    <t>182010</t>
  </si>
  <si>
    <t>192015</t>
  </si>
  <si>
    <t>202029</t>
  </si>
  <si>
    <t>222038</t>
  </si>
  <si>
    <t>222101</t>
  </si>
  <si>
    <t>232033</t>
  </si>
  <si>
    <t>232068</t>
  </si>
  <si>
    <t>242021</t>
  </si>
  <si>
    <t>272027</t>
  </si>
  <si>
    <t>272051</t>
  </si>
  <si>
    <t>272116</t>
  </si>
  <si>
    <t>272159</t>
  </si>
  <si>
    <t>282103</t>
  </si>
  <si>
    <t>282146</t>
  </si>
  <si>
    <t>342025</t>
  </si>
  <si>
    <t>422029</t>
  </si>
  <si>
    <t>412015</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</si>
  <si>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</si>
  <si>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</si>
  <si>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</si>
  <si>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</si>
  <si>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</si>
  <si>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</si>
  <si>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</si>
  <si>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</si>
  <si>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</si>
  <si>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</si>
  <si>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</si>
  <si>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</si>
  <si>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</si>
  <si>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</si>
  <si>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</si>
  <si>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</si>
  <si>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</si>
  <si>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</si>
  <si>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</si>
  <si>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</si>
  <si>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</si>
  <si>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</si>
  <si>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</si>
  <si>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札幌市</t>
  </si>
  <si>
    <t>横浜市</t>
  </si>
  <si>
    <t>川崎市</t>
  </si>
  <si>
    <t>名古屋市</t>
  </si>
  <si>
    <t>京都市</t>
  </si>
  <si>
    <t>大阪市</t>
  </si>
  <si>
    <t>神戸市</t>
  </si>
  <si>
    <t>北九州市</t>
  </si>
  <si>
    <t>福岡市</t>
  </si>
  <si>
    <t>広島市</t>
  </si>
  <si>
    <t>仙台市</t>
  </si>
  <si>
    <t>千葉市</t>
  </si>
  <si>
    <t>さいたま市</t>
  </si>
  <si>
    <t>静岡市</t>
  </si>
  <si>
    <t>堺市</t>
  </si>
  <si>
    <t>新潟市</t>
  </si>
  <si>
    <t>浜松市</t>
  </si>
  <si>
    <t>岡山市</t>
  </si>
  <si>
    <t>相模原市</t>
  </si>
  <si>
    <t>熊本市</t>
  </si>
  <si>
    <t>函館市</t>
  </si>
  <si>
    <t>旭川市</t>
  </si>
  <si>
    <t>青森市</t>
  </si>
  <si>
    <t>盛岡市</t>
  </si>
  <si>
    <t>秋田市</t>
  </si>
  <si>
    <t>郡山市</t>
  </si>
  <si>
    <t>いわき市</t>
  </si>
  <si>
    <t>宇都宮市</t>
  </si>
  <si>
    <t>前橋市</t>
  </si>
  <si>
    <t>川越市</t>
  </si>
  <si>
    <t>船橋市</t>
  </si>
  <si>
    <t>柏市</t>
  </si>
  <si>
    <t>横須賀市</t>
  </si>
  <si>
    <t>富山市</t>
  </si>
  <si>
    <t>金沢市</t>
  </si>
  <si>
    <t>長野市</t>
  </si>
  <si>
    <t>岐阜市</t>
  </si>
  <si>
    <t>豊橋市</t>
  </si>
  <si>
    <t>豊田市</t>
  </si>
  <si>
    <t>岡崎市</t>
  </si>
  <si>
    <t>大津市</t>
  </si>
  <si>
    <t>高槻市</t>
  </si>
  <si>
    <t>東大阪市</t>
  </si>
  <si>
    <t>姫路市</t>
  </si>
  <si>
    <t>尼崎市</t>
  </si>
  <si>
    <t>西宮市</t>
  </si>
  <si>
    <t>奈良市</t>
  </si>
  <si>
    <t>和歌山市</t>
  </si>
  <si>
    <t>倉敷市</t>
  </si>
  <si>
    <t>福山市</t>
  </si>
  <si>
    <t>下関市</t>
  </si>
  <si>
    <t>高松市</t>
  </si>
  <si>
    <t>松山市</t>
  </si>
  <si>
    <t>高知市</t>
  </si>
  <si>
    <t>久留米市</t>
  </si>
  <si>
    <t>長崎市</t>
  </si>
  <si>
    <t>大分市</t>
  </si>
  <si>
    <t>宮崎市</t>
  </si>
  <si>
    <t>鹿児島市</t>
  </si>
  <si>
    <t>高崎市</t>
  </si>
  <si>
    <t>豊中市</t>
  </si>
  <si>
    <t>那覇市</t>
  </si>
  <si>
    <t>枚方市</t>
  </si>
  <si>
    <t>越谷市</t>
  </si>
  <si>
    <t>山形市</t>
  </si>
  <si>
    <t>水戸市</t>
  </si>
  <si>
    <t>つくば市</t>
  </si>
  <si>
    <t>伊勢崎市</t>
  </si>
  <si>
    <t>太田市</t>
  </si>
  <si>
    <t>熊谷市</t>
  </si>
  <si>
    <t>所沢市</t>
  </si>
  <si>
    <t>草加市</t>
  </si>
  <si>
    <t>春日部市</t>
  </si>
  <si>
    <t>平塚市</t>
  </si>
  <si>
    <t>小田原市</t>
  </si>
  <si>
    <t>茅ヶ崎市</t>
  </si>
  <si>
    <t>厚木市</t>
  </si>
  <si>
    <t>大和市</t>
  </si>
  <si>
    <t>長岡市</t>
  </si>
  <si>
    <t>上越市</t>
  </si>
  <si>
    <t>福井市</t>
  </si>
  <si>
    <t>甲府市</t>
  </si>
  <si>
    <t>松本市</t>
  </si>
  <si>
    <t>沼津市</t>
  </si>
  <si>
    <t>富士市</t>
  </si>
  <si>
    <t>一宮市</t>
  </si>
  <si>
    <t>春日井市</t>
  </si>
  <si>
    <t>四日市市</t>
  </si>
  <si>
    <t>岸和田市</t>
  </si>
  <si>
    <t>吹田市</t>
  </si>
  <si>
    <t>茨木市</t>
  </si>
  <si>
    <t>寝屋川市</t>
  </si>
  <si>
    <t>加古川市</t>
  </si>
  <si>
    <t>宝塚市</t>
  </si>
  <si>
    <t>呉市</t>
  </si>
  <si>
    <t>佐世保市</t>
  </si>
  <si>
    <r>
      <t>　　　　・チェック結果欄に</t>
    </r>
    <r>
      <rPr>
        <b/>
        <sz val="12"/>
        <color indexed="10"/>
        <rFont val="ＭＳ Ｐゴシック"/>
        <family val="3"/>
        <charset val="128"/>
      </rPr>
      <t>「要確認」</t>
    </r>
    <r>
      <rPr>
        <b/>
        <sz val="12"/>
        <color indexed="12"/>
        <rFont val="ＭＳ Ｐゴシック"/>
        <family val="3"/>
        <charset val="128"/>
      </rPr>
      <t>が表示される場合は、「要確認一覧表」シートを参考に発注・元請ファイルの入力金額を確認してください。</t>
    </r>
    <r>
      <rPr>
        <b/>
        <sz val="12"/>
        <color rgb="FFFF0000"/>
        <rFont val="ＭＳ Ｐゴシック"/>
        <family val="3"/>
        <charset val="128"/>
      </rPr>
      <t>確認の結果、元請の計上に誤りがある場合は、「元請ファイル」の修正が必要です。</t>
    </r>
    <rPh sb="9" eb="11">
      <t>ケッカ</t>
    </rPh>
    <rPh sb="11" eb="12">
      <t>ラン</t>
    </rPh>
    <rPh sb="14" eb="15">
      <t>ヨウ</t>
    </rPh>
    <rPh sb="15" eb="17">
      <t>カクニン</t>
    </rPh>
    <rPh sb="19" eb="21">
      <t>ヒョウジ</t>
    </rPh>
    <rPh sb="24" eb="26">
      <t>バアイ</t>
    </rPh>
    <rPh sb="29" eb="30">
      <t>ヨウ</t>
    </rPh>
    <rPh sb="30" eb="32">
      <t>カクニン</t>
    </rPh>
    <phoneticPr fontId="5"/>
  </si>
  <si>
    <t>施工箇所が点在する工事積算方法の試行工事の有無</t>
    <rPh sb="0" eb="2">
      <t>セコウ</t>
    </rPh>
    <rPh sb="2" eb="4">
      <t>カショ</t>
    </rPh>
    <rPh sb="5" eb="7">
      <t>テンザイ</t>
    </rPh>
    <rPh sb="9" eb="11">
      <t>コウジ</t>
    </rPh>
    <rPh sb="11" eb="13">
      <t>セキサン</t>
    </rPh>
    <rPh sb="13" eb="15">
      <t>ホウホウ</t>
    </rPh>
    <rPh sb="16" eb="18">
      <t>シコウ</t>
    </rPh>
    <rPh sb="18" eb="20">
      <t>コウジ</t>
    </rPh>
    <rPh sb="21" eb="23">
      <t>ウム</t>
    </rPh>
    <phoneticPr fontId="5"/>
  </si>
  <si>
    <t>総合評価　施工能力評価型Ⅰ型（同時提出型）</t>
  </si>
  <si>
    <t>総合評価　施工能力評価型Ⅱ型（同時提出型）</t>
  </si>
  <si>
    <t>遠隔地からの建設資材調達に係わる設計変更</t>
    <rPh sb="0" eb="3">
      <t>エンカクチ</t>
    </rPh>
    <rPh sb="6" eb="8">
      <t>ケンセツ</t>
    </rPh>
    <rPh sb="8" eb="10">
      <t>シザイ</t>
    </rPh>
    <rPh sb="10" eb="12">
      <t>チョウタツ</t>
    </rPh>
    <rPh sb="13" eb="14">
      <t>カカ</t>
    </rPh>
    <rPh sb="16" eb="18">
      <t>セッケイ</t>
    </rPh>
    <rPh sb="18" eb="20">
      <t>ヘンコウ</t>
    </rPh>
    <phoneticPr fontId="5"/>
  </si>
  <si>
    <t>(７)</t>
    <phoneticPr fontId="5"/>
  </si>
  <si>
    <t>処分費「(７)その他のうち、処分費」</t>
    <rPh sb="0" eb="3">
      <t>ショブンヒ</t>
    </rPh>
    <rPh sb="9" eb="10">
      <t>タ</t>
    </rPh>
    <rPh sb="14" eb="17">
      <t>ショブンヒ</t>
    </rPh>
    <phoneticPr fontId="4"/>
  </si>
  <si>
    <t>ID</t>
    <phoneticPr fontId="5"/>
  </si>
  <si>
    <t>省コード</t>
  </si>
  <si>
    <t>下限</t>
    <rPh sb="0" eb="2">
      <t>カゲン</t>
    </rPh>
    <phoneticPr fontId="5"/>
  </si>
  <si>
    <t>上限</t>
    <rPh sb="0" eb="2">
      <t>ジョウゲン</t>
    </rPh>
    <phoneticPr fontId="5"/>
  </si>
  <si>
    <t>A</t>
  </si>
  <si>
    <t>ｂ</t>
  </si>
  <si>
    <t>補正率</t>
    <rPh sb="0" eb="2">
      <t>ホセイ</t>
    </rPh>
    <rPh sb="2" eb="3">
      <t>リツ</t>
    </rPh>
    <phoneticPr fontId="5"/>
  </si>
  <si>
    <t>除雪補正</t>
    <rPh sb="0" eb="2">
      <t>ジョセツ</t>
    </rPh>
    <rPh sb="2" eb="4">
      <t>ホセイ</t>
    </rPh>
    <phoneticPr fontId="5"/>
  </si>
  <si>
    <t>仮設営繕・敷地貸与補正</t>
    <rPh sb="0" eb="2">
      <t>カセツ</t>
    </rPh>
    <rPh sb="2" eb="4">
      <t>エイゼン</t>
    </rPh>
    <rPh sb="5" eb="7">
      <t>シキチ</t>
    </rPh>
    <rPh sb="7" eb="9">
      <t>タイヨ</t>
    </rPh>
    <rPh sb="9" eb="11">
      <t>ホセイ</t>
    </rPh>
    <phoneticPr fontId="5"/>
  </si>
  <si>
    <t>港湾以外</t>
    <rPh sb="0" eb="2">
      <t>コウワン</t>
    </rPh>
    <rPh sb="2" eb="4">
      <t>イガイ</t>
    </rPh>
    <phoneticPr fontId="5"/>
  </si>
  <si>
    <t>港湾</t>
    <rPh sb="0" eb="2">
      <t>コウワン</t>
    </rPh>
    <phoneticPr fontId="5"/>
  </si>
  <si>
    <t>宿舎のみ使用</t>
  </si>
  <si>
    <t>事務所のみ使用</t>
  </si>
  <si>
    <t>倉庫のみ使用</t>
  </si>
  <si>
    <t>宿舎と事務所を使用</t>
  </si>
  <si>
    <t>宿舎と倉庫を使用</t>
  </si>
  <si>
    <t>事務所と倉庫を使用</t>
  </si>
  <si>
    <t>宿舎、事務所、倉庫を使用</t>
  </si>
  <si>
    <t>仮設営繕物を貸与する場合</t>
  </si>
  <si>
    <t>無償敷地に仮設営繕物を築造する場合</t>
  </si>
  <si>
    <t>一般交通影響あり</t>
    <rPh sb="0" eb="2">
      <t>イッパン</t>
    </rPh>
    <rPh sb="2" eb="4">
      <t>コウツウ</t>
    </rPh>
    <rPh sb="4" eb="6">
      <t>エイキョウ</t>
    </rPh>
    <phoneticPr fontId="5"/>
  </si>
  <si>
    <t>一般交通影響なし</t>
    <rPh sb="0" eb="2">
      <t>イッパン</t>
    </rPh>
    <rPh sb="2" eb="4">
      <t>コウツウ</t>
    </rPh>
    <rPh sb="4" eb="6">
      <t>エイキョウ</t>
    </rPh>
    <phoneticPr fontId="5"/>
  </si>
  <si>
    <t>特定重要港湾</t>
  </si>
  <si>
    <t>重要港湾・地方港湾（１）</t>
  </si>
  <si>
    <t>ＰＣ橋工事</t>
  </si>
  <si>
    <t>共同溝等工事（１）</t>
  </si>
  <si>
    <t>共同溝等工事（２）</t>
  </si>
  <si>
    <t>光ケーブル工事(道路維持工事)</t>
  </si>
  <si>
    <t>光ケーブル工事(河川維持工事)</t>
  </si>
  <si>
    <t>海岸（港）工事</t>
  </si>
  <si>
    <t>港湾浚渫工事（維持補修）</t>
  </si>
  <si>
    <t>港湾構造物工事（維持補修）</t>
  </si>
  <si>
    <t>空港舗装工事（制限区域内夜間工事）</t>
  </si>
  <si>
    <t>空港舗装工事（制限区域内夜間工事以外）</t>
  </si>
  <si>
    <t>その他土木工事（１）</t>
  </si>
  <si>
    <t>その他土木工事（２）</t>
  </si>
  <si>
    <t>海岸（農）工事</t>
    <rPh sb="0" eb="2">
      <t>カイガン</t>
    </rPh>
    <rPh sb="3" eb="4">
      <t>ノウ</t>
    </rPh>
    <phoneticPr fontId="5"/>
  </si>
  <si>
    <t>干拓工事</t>
  </si>
  <si>
    <t>フィルダム（農）工事</t>
  </si>
  <si>
    <t>コンクリートダム（農）工事</t>
  </si>
  <si>
    <t>管更生工事（機械製管工法）</t>
  </si>
  <si>
    <t>管更生工事（人力製管工法）</t>
  </si>
  <si>
    <t>管更生工事（反転工法）</t>
  </si>
  <si>
    <t>管更生工事（形成工法）</t>
  </si>
  <si>
    <t>管更生工事（その他工法）</t>
  </si>
  <si>
    <t>塗替塗装</t>
    <rPh sb="0" eb="1">
      <t>ヌ</t>
    </rPh>
    <rPh sb="1" eb="2">
      <t>カ</t>
    </rPh>
    <rPh sb="2" eb="4">
      <t>トソウ</t>
    </rPh>
    <phoneticPr fontId="5"/>
  </si>
  <si>
    <t>防護柵</t>
  </si>
  <si>
    <t>大都市（１）</t>
    <rPh sb="0" eb="3">
      <t>ダイトシ</t>
    </rPh>
    <phoneticPr fontId="5"/>
  </si>
  <si>
    <t>大都市（２）</t>
    <rPh sb="0" eb="3">
      <t>ダイトシ</t>
    </rPh>
    <phoneticPr fontId="5"/>
  </si>
  <si>
    <t>機関</t>
    <rPh sb="0" eb="2">
      <t>キカン</t>
    </rPh>
    <phoneticPr fontId="5"/>
  </si>
  <si>
    <t>工種</t>
    <rPh sb="0" eb="2">
      <t>コウシュ</t>
    </rPh>
    <phoneticPr fontId="5"/>
  </si>
  <si>
    <t>地域補正（港湾）</t>
    <rPh sb="0" eb="2">
      <t>チイキ</t>
    </rPh>
    <rPh sb="2" eb="4">
      <t>ホセイ</t>
    </rPh>
    <rPh sb="5" eb="7">
      <t>コウワン</t>
    </rPh>
    <phoneticPr fontId="5"/>
  </si>
  <si>
    <t>舗装工事（新設）</t>
    <rPh sb="5" eb="7">
      <t>シンセツ</t>
    </rPh>
    <phoneticPr fontId="5"/>
  </si>
  <si>
    <t>復興補正</t>
    <rPh sb="0" eb="2">
      <t>フッコウ</t>
    </rPh>
    <rPh sb="2" eb="4">
      <t>ホセイ</t>
    </rPh>
    <phoneticPr fontId="5"/>
  </si>
  <si>
    <t>大都市・市街地補正係数</t>
    <rPh sb="0" eb="3">
      <t>ダイトシ</t>
    </rPh>
    <rPh sb="4" eb="7">
      <t>シガイチ</t>
    </rPh>
    <rPh sb="7" eb="9">
      <t>ホセイ</t>
    </rPh>
    <rPh sb="9" eb="11">
      <t>ケイスウ</t>
    </rPh>
    <phoneticPr fontId="5"/>
  </si>
  <si>
    <t>電気通信設備工事(河川維持工事)</t>
    <rPh sb="9" eb="11">
      <t>カセン</t>
    </rPh>
    <phoneticPr fontId="5"/>
  </si>
  <si>
    <t>施工地域区分</t>
    <rPh sb="0" eb="2">
      <t>セコウ</t>
    </rPh>
    <rPh sb="2" eb="4">
      <t>チイキ</t>
    </rPh>
    <rPh sb="4" eb="6">
      <t>クブン</t>
    </rPh>
    <phoneticPr fontId="5"/>
  </si>
  <si>
    <t>補正係数・補正率</t>
    <rPh sb="0" eb="2">
      <t>ホセイ</t>
    </rPh>
    <rPh sb="2" eb="4">
      <t>ケイスウ</t>
    </rPh>
    <rPh sb="5" eb="7">
      <t>ホセイ</t>
    </rPh>
    <rPh sb="7" eb="8">
      <t>リツ</t>
    </rPh>
    <phoneticPr fontId="5"/>
  </si>
  <si>
    <t>共通仮設費率（補正前）</t>
    <rPh sb="0" eb="2">
      <t>キョウツウ</t>
    </rPh>
    <rPh sb="2" eb="4">
      <t>カセツ</t>
    </rPh>
    <rPh sb="4" eb="5">
      <t>ヒ</t>
    </rPh>
    <rPh sb="5" eb="6">
      <t>リツ</t>
    </rPh>
    <rPh sb="7" eb="9">
      <t>ホセイ</t>
    </rPh>
    <rPh sb="9" eb="10">
      <t>マエ</t>
    </rPh>
    <phoneticPr fontId="5"/>
  </si>
  <si>
    <t>下限率</t>
    <rPh sb="0" eb="2">
      <t>カゲン</t>
    </rPh>
    <rPh sb="2" eb="3">
      <t>リツ</t>
    </rPh>
    <phoneticPr fontId="5"/>
  </si>
  <si>
    <t>上限率</t>
    <rPh sb="0" eb="2">
      <t>ジョウゲン</t>
    </rPh>
    <rPh sb="2" eb="3">
      <t>リツ</t>
    </rPh>
    <phoneticPr fontId="5"/>
  </si>
  <si>
    <t>共通仮設費対象額（千円）</t>
    <rPh sb="0" eb="2">
      <t>キョウツウ</t>
    </rPh>
    <rPh sb="2" eb="4">
      <t>カセツ</t>
    </rPh>
    <rPh sb="4" eb="5">
      <t>ヒ</t>
    </rPh>
    <rPh sb="5" eb="7">
      <t>タイショウ</t>
    </rPh>
    <rPh sb="7" eb="8">
      <t>ガク</t>
    </rPh>
    <rPh sb="9" eb="11">
      <t>センエン</t>
    </rPh>
    <phoneticPr fontId="5"/>
  </si>
  <si>
    <t>下限額（千円）</t>
    <rPh sb="0" eb="2">
      <t>カゲン</t>
    </rPh>
    <rPh sb="2" eb="3">
      <t>ガク</t>
    </rPh>
    <phoneticPr fontId="5"/>
  </si>
  <si>
    <t>上限額（千円）</t>
    <rPh sb="0" eb="2">
      <t>ジョウゲン</t>
    </rPh>
    <rPh sb="2" eb="3">
      <t>ガク</t>
    </rPh>
    <phoneticPr fontId="5"/>
  </si>
  <si>
    <t>大都市補正のケース</t>
    <rPh sb="0" eb="3">
      <t>ダイトシ</t>
    </rPh>
    <rPh sb="3" eb="5">
      <t>ホセイ</t>
    </rPh>
    <phoneticPr fontId="5"/>
  </si>
  <si>
    <t>地域補正のケース</t>
    <rPh sb="0" eb="2">
      <t>チイキ</t>
    </rPh>
    <rPh sb="2" eb="4">
      <t>ホセイ</t>
    </rPh>
    <phoneticPr fontId="5"/>
  </si>
  <si>
    <t>率</t>
    <rPh sb="0" eb="1">
      <t>リツ</t>
    </rPh>
    <phoneticPr fontId="5"/>
  </si>
  <si>
    <t>A-1</t>
    <phoneticPr fontId="5"/>
  </si>
  <si>
    <t>A-2</t>
  </si>
  <si>
    <t>A-3</t>
  </si>
  <si>
    <t>A-4</t>
  </si>
  <si>
    <t>A-5</t>
  </si>
  <si>
    <t>A-6</t>
  </si>
  <si>
    <t>B-1</t>
    <phoneticPr fontId="5"/>
  </si>
  <si>
    <t>B-2</t>
  </si>
  <si>
    <t>B-3</t>
  </si>
  <si>
    <t>B-4</t>
  </si>
  <si>
    <t>B-5</t>
  </si>
  <si>
    <t>「工種コードによる共通仮設費率（kr）」+「地域特性コードによる補正値」</t>
    <phoneticPr fontId="5"/>
  </si>
  <si>
    <t>「工種コードによる共通仮設費率（kr）」+「地域特性コードによる補正値」+「海上輸送による補正値」</t>
    <phoneticPr fontId="5"/>
  </si>
  <si>
    <t>「工種コードによる共通仮設費率(kr)」×「除雪工事補正係数」+「地域特性コードによる補正値」</t>
    <phoneticPr fontId="5"/>
  </si>
  <si>
    <t>「工種コードによる共通仮設費率(kr)」×「大都市補正係数」</t>
    <phoneticPr fontId="5"/>
  </si>
  <si>
    <t>「工種コードによる共通仮設費率(kr)」×「除雪工事補正係数」+「工種コードによる共通仮設費率(kr)」×大都市補正係数-「工種コードによる共通仮設費率(kr)」</t>
    <phoneticPr fontId="5"/>
  </si>
  <si>
    <t>「工種コードによる共通仮設費率（kr）」+「地域特性コードによる補正値」）×「営繕補正係数」</t>
    <rPh sb="39" eb="41">
      <t>エイゼン</t>
    </rPh>
    <rPh sb="41" eb="43">
      <t>ホセイ</t>
    </rPh>
    <rPh sb="43" eb="45">
      <t>ケイスウ</t>
    </rPh>
    <phoneticPr fontId="5"/>
  </si>
  <si>
    <t>(「工種コードによる共通仮設費率（kr）」+「地域特性コードによる補正値」)×「復興補正係数」</t>
    <rPh sb="40" eb="42">
      <t>フッコウ</t>
    </rPh>
    <rPh sb="42" eb="44">
      <t>ホセイ</t>
    </rPh>
    <rPh sb="44" eb="46">
      <t>ケイスウ</t>
    </rPh>
    <phoneticPr fontId="5"/>
  </si>
  <si>
    <t>(「工種コードによる共通仮設費率（kr）」+「地域特性コードによる補正値」+「海上輸送による補正値」)×「復興補正係数」</t>
    <phoneticPr fontId="5"/>
  </si>
  <si>
    <t>(「工種コードによる共通仮設費率(kr)」×「除雪工事補正係数」+「地域特性コードによる補正値」)×「復興補正係数」</t>
    <phoneticPr fontId="5"/>
  </si>
  <si>
    <t>「工種コードによる共通仮設費率(kr)」×「大都市補正係数」×「復興補正係数」</t>
    <phoneticPr fontId="5"/>
  </si>
  <si>
    <t>(「工種コードによる共通仮設費率(kr)」×「除雪工事補正係数」+「工種コードによる共通仮設費率(kr)」×大都市補正係数-「工種コードによる共通仮設費率(kr)」)×「復興補正係数」</t>
    <phoneticPr fontId="5"/>
  </si>
  <si>
    <t>ケース判定</t>
    <rPh sb="3" eb="5">
      <t>ハンテイ</t>
    </rPh>
    <phoneticPr fontId="5"/>
  </si>
  <si>
    <t>ケース詳細</t>
    <rPh sb="3" eb="5">
      <t>ショウサイ</t>
    </rPh>
    <phoneticPr fontId="5"/>
  </si>
  <si>
    <t>橋梁保全工事</t>
    <rPh sb="0" eb="2">
      <t>キョウリョウ</t>
    </rPh>
    <rPh sb="2" eb="4">
      <t>ホゼン</t>
    </rPh>
    <rPh sb="4" eb="6">
      <t>コウジ</t>
    </rPh>
    <phoneticPr fontId="5"/>
  </si>
  <si>
    <t>共通仮設費率の補正</t>
    <rPh sb="0" eb="2">
      <t>キョウツウ</t>
    </rPh>
    <rPh sb="2" eb="4">
      <t>カセツ</t>
    </rPh>
    <rPh sb="4" eb="5">
      <t>ヒ</t>
    </rPh>
    <rPh sb="5" eb="6">
      <t>リツ</t>
    </rPh>
    <rPh sb="7" eb="9">
      <t>ホセイ</t>
    </rPh>
    <phoneticPr fontId="5"/>
  </si>
  <si>
    <t>施工地域の補正</t>
    <rPh sb="0" eb="2">
      <t>セコウ</t>
    </rPh>
    <rPh sb="2" eb="4">
      <t>チイキ</t>
    </rPh>
    <rPh sb="5" eb="7">
      <t>ホセイ</t>
    </rPh>
    <phoneticPr fontId="4"/>
  </si>
  <si>
    <t>施工地域補正（共通仮設）</t>
    <rPh sb="0" eb="2">
      <t>セコウ</t>
    </rPh>
    <rPh sb="2" eb="4">
      <t>チイキ</t>
    </rPh>
    <rPh sb="4" eb="6">
      <t>ホセイ</t>
    </rPh>
    <rPh sb="7" eb="9">
      <t>キョウツウ</t>
    </rPh>
    <rPh sb="9" eb="11">
      <t>カセツ</t>
    </rPh>
    <phoneticPr fontId="5"/>
  </si>
  <si>
    <t>施工地域補正（現場管理）</t>
    <rPh sb="0" eb="2">
      <t>セコウ</t>
    </rPh>
    <rPh sb="2" eb="4">
      <t>チイキ</t>
    </rPh>
    <rPh sb="4" eb="6">
      <t>ホセイ</t>
    </rPh>
    <rPh sb="7" eb="9">
      <t>ゲンバ</t>
    </rPh>
    <rPh sb="9" eb="11">
      <t>カンリ</t>
    </rPh>
    <phoneticPr fontId="5"/>
  </si>
  <si>
    <t>1：市街地（2.0%）</t>
  </si>
  <si>
    <t>2：山間僻地及び離島（1.0%）</t>
  </si>
  <si>
    <t>地域補正</t>
    <rPh sb="0" eb="2">
      <t>チイキ</t>
    </rPh>
    <rPh sb="2" eb="4">
      <t>ホセイ</t>
    </rPh>
    <phoneticPr fontId="5"/>
  </si>
  <si>
    <t>舗装工事（修繕工事）</t>
  </si>
  <si>
    <t>下水道工事（２）「函渠、管渠等（開削）」　</t>
  </si>
  <si>
    <t>下水道工事（２）「側溝、水路等」　</t>
  </si>
  <si>
    <t>下水道工事（２）「推進（口径≦500mm）」</t>
  </si>
  <si>
    <t>下水道工事（２）「推進（500mm&lt;口径&lt;800mm）」</t>
  </si>
  <si>
    <t>下水道工事（４）管更生「製管工法（機械製管）」</t>
  </si>
  <si>
    <t>下水道工事（４）管更生「製管工法（人力製管）」</t>
  </si>
  <si>
    <t>下水道工事（４）管更生「反転工法」</t>
  </si>
  <si>
    <t>下水道工事（４）管更生「形成工法」</t>
  </si>
  <si>
    <t>下水道工事（４）管更生「その他工法」</t>
  </si>
  <si>
    <t>コンクリートダム工事(建)</t>
  </si>
  <si>
    <t>フィルダム工事(建)</t>
  </si>
  <si>
    <t>電気通信設備工事(道路維持工事)</t>
    <phoneticPr fontId="5"/>
  </si>
  <si>
    <t>海岸工事（港（維持補修））</t>
  </si>
  <si>
    <t>防舷材、電気防食工事</t>
  </si>
  <si>
    <t>河川・道路構造物工事（港）</t>
  </si>
  <si>
    <t>空港維持工事(除雪なし)</t>
  </si>
  <si>
    <t>空港維持工事(除雪あり)</t>
  </si>
  <si>
    <t>舗装（NEXCO）</t>
  </si>
  <si>
    <t>造園（NEXCO）</t>
  </si>
  <si>
    <t>Ⅴ</t>
    <phoneticPr fontId="5"/>
  </si>
  <si>
    <t>現場管理費率の補正</t>
    <rPh sb="0" eb="2">
      <t>ゲンバ</t>
    </rPh>
    <rPh sb="2" eb="4">
      <t>カンリ</t>
    </rPh>
    <rPh sb="4" eb="5">
      <t>ヒ</t>
    </rPh>
    <rPh sb="5" eb="6">
      <t>リツ</t>
    </rPh>
    <rPh sb="7" eb="9">
      <t>ホセイ</t>
    </rPh>
    <phoneticPr fontId="5"/>
  </si>
  <si>
    <t>緊急工事の場合</t>
    <rPh sb="0" eb="2">
      <t>キンキュウ</t>
    </rPh>
    <rPh sb="2" eb="4">
      <t>コウジ</t>
    </rPh>
    <rPh sb="5" eb="7">
      <t>バアイ</t>
    </rPh>
    <phoneticPr fontId="4"/>
  </si>
  <si>
    <r>
      <t>砂防・地すべり工事で堤体高20</t>
    </r>
    <r>
      <rPr>
        <sz val="11"/>
        <rFont val="ＭＳ Ｐゴシック"/>
        <family val="3"/>
        <charset val="128"/>
      </rPr>
      <t>m以上の場合</t>
    </r>
    <rPh sb="0" eb="2">
      <t>サボウ</t>
    </rPh>
    <rPh sb="3" eb="4">
      <t>ジ</t>
    </rPh>
    <rPh sb="7" eb="9">
      <t>コウジ</t>
    </rPh>
    <rPh sb="10" eb="12">
      <t>テイタイ</t>
    </rPh>
    <rPh sb="12" eb="13">
      <t>タカ</t>
    </rPh>
    <rPh sb="16" eb="18">
      <t>イジョウ</t>
    </rPh>
    <rPh sb="19" eb="21">
      <t>バアイ</t>
    </rPh>
    <phoneticPr fontId="5"/>
  </si>
  <si>
    <t>積雪寒冷地帯で施工時期が冬期となる場合</t>
    <rPh sb="0" eb="2">
      <t>セキセツ</t>
    </rPh>
    <rPh sb="2" eb="4">
      <t>カンレイ</t>
    </rPh>
    <rPh sb="4" eb="6">
      <t>チタイ</t>
    </rPh>
    <rPh sb="7" eb="9">
      <t>セコウ</t>
    </rPh>
    <rPh sb="9" eb="11">
      <t>ジキ</t>
    </rPh>
    <rPh sb="12" eb="14">
      <t>トウキ</t>
    </rPh>
    <rPh sb="17" eb="19">
      <t>バアイ</t>
    </rPh>
    <phoneticPr fontId="5"/>
  </si>
  <si>
    <t>地域特性コード</t>
    <rPh sb="0" eb="2">
      <t>チイキ</t>
    </rPh>
    <rPh sb="2" eb="4">
      <t>トクセイ</t>
    </rPh>
    <phoneticPr fontId="4"/>
  </si>
  <si>
    <t>予備</t>
    <rPh sb="0" eb="2">
      <t>ヨビ</t>
    </rPh>
    <phoneticPr fontId="5"/>
  </si>
  <si>
    <t>２)</t>
  </si>
  <si>
    <t>交通誘導警備員A</t>
    <rPh sb="0" eb="2">
      <t>コウツウ</t>
    </rPh>
    <rPh sb="2" eb="4">
      <t>ユウドウ</t>
    </rPh>
    <rPh sb="4" eb="7">
      <t>ケイビイン</t>
    </rPh>
    <phoneticPr fontId="4"/>
  </si>
  <si>
    <t>交通誘導警備員B</t>
    <rPh sb="0" eb="2">
      <t>コウツウ</t>
    </rPh>
    <rPh sb="2" eb="4">
      <t>ユウドウ</t>
    </rPh>
    <rPh sb="4" eb="7">
      <t>ケイビイン</t>
    </rPh>
    <phoneticPr fontId="4"/>
  </si>
  <si>
    <t>余裕期間についての調査票</t>
    <rPh sb="0" eb="2">
      <t>ヨユウ</t>
    </rPh>
    <rPh sb="2" eb="4">
      <t>キカン</t>
    </rPh>
    <rPh sb="9" eb="12">
      <t>チョウサヒョウ</t>
    </rPh>
    <phoneticPr fontId="4"/>
  </si>
  <si>
    <t>①</t>
    <phoneticPr fontId="4"/>
  </si>
  <si>
    <t>余裕期間の有無</t>
    <rPh sb="0" eb="2">
      <t>ヨユウ</t>
    </rPh>
    <rPh sb="2" eb="4">
      <t>キカン</t>
    </rPh>
    <rPh sb="5" eb="7">
      <t>ウム</t>
    </rPh>
    <phoneticPr fontId="4"/>
  </si>
  <si>
    <t>②</t>
    <phoneticPr fontId="4"/>
  </si>
  <si>
    <t>余裕期間の方法</t>
    <rPh sb="0" eb="2">
      <t>ヨユウ</t>
    </rPh>
    <rPh sb="2" eb="4">
      <t>キカン</t>
    </rPh>
    <rPh sb="5" eb="7">
      <t>ホウホウ</t>
    </rPh>
    <phoneticPr fontId="4"/>
  </si>
  <si>
    <t>発注者指定方式</t>
    <rPh sb="0" eb="3">
      <t>ハッチュウシャ</t>
    </rPh>
    <rPh sb="3" eb="5">
      <t>シテイ</t>
    </rPh>
    <rPh sb="5" eb="7">
      <t>ホウシキ</t>
    </rPh>
    <phoneticPr fontId="5"/>
  </si>
  <si>
    <t>③</t>
    <phoneticPr fontId="4"/>
  </si>
  <si>
    <t>工期（発注時）契約工期の始期</t>
    <rPh sb="0" eb="2">
      <t>コウキ</t>
    </rPh>
    <rPh sb="3" eb="5">
      <t>ハッチュウ</t>
    </rPh>
    <rPh sb="5" eb="6">
      <t>ジ</t>
    </rPh>
    <rPh sb="7" eb="9">
      <t>ケイヤク</t>
    </rPh>
    <rPh sb="9" eb="11">
      <t>コウキ</t>
    </rPh>
    <rPh sb="12" eb="14">
      <t>シキ</t>
    </rPh>
    <phoneticPr fontId="4"/>
  </si>
  <si>
    <t>④</t>
    <phoneticPr fontId="4"/>
  </si>
  <si>
    <t>工期（発注時）実工期の始期</t>
    <rPh sb="0" eb="2">
      <t>コウキ</t>
    </rPh>
    <rPh sb="3" eb="5">
      <t>ハッチュウ</t>
    </rPh>
    <rPh sb="5" eb="6">
      <t>ジ</t>
    </rPh>
    <rPh sb="7" eb="8">
      <t>ジツ</t>
    </rPh>
    <rPh sb="8" eb="10">
      <t>コウキ</t>
    </rPh>
    <rPh sb="11" eb="13">
      <t>シキ</t>
    </rPh>
    <phoneticPr fontId="4"/>
  </si>
  <si>
    <t>⑤</t>
    <phoneticPr fontId="4"/>
  </si>
  <si>
    <t>工期（発注時）の終期</t>
    <rPh sb="0" eb="2">
      <t>コウキ</t>
    </rPh>
    <rPh sb="3" eb="5">
      <t>ハッチュウ</t>
    </rPh>
    <rPh sb="5" eb="6">
      <t>ジ</t>
    </rPh>
    <rPh sb="8" eb="10">
      <t>シュウキ</t>
    </rPh>
    <phoneticPr fontId="4"/>
  </si>
  <si>
    <t>⑥</t>
    <phoneticPr fontId="4"/>
  </si>
  <si>
    <t>工期（契約時）契約工期の始期</t>
    <rPh sb="0" eb="2">
      <t>コウキ</t>
    </rPh>
    <rPh sb="3" eb="5">
      <t>ケイヤク</t>
    </rPh>
    <rPh sb="5" eb="6">
      <t>ジ</t>
    </rPh>
    <rPh sb="7" eb="9">
      <t>ケイヤク</t>
    </rPh>
    <rPh sb="9" eb="11">
      <t>コウキ</t>
    </rPh>
    <rPh sb="12" eb="14">
      <t>シキ</t>
    </rPh>
    <phoneticPr fontId="4"/>
  </si>
  <si>
    <t>⑦</t>
    <phoneticPr fontId="4"/>
  </si>
  <si>
    <t>工期（契約時）実工期の始期</t>
    <rPh sb="0" eb="2">
      <t>コウキ</t>
    </rPh>
    <rPh sb="3" eb="5">
      <t>ケイヤク</t>
    </rPh>
    <rPh sb="5" eb="6">
      <t>ジ</t>
    </rPh>
    <rPh sb="7" eb="8">
      <t>ジツ</t>
    </rPh>
    <rPh sb="8" eb="10">
      <t>コウキ</t>
    </rPh>
    <rPh sb="11" eb="13">
      <t>シキ</t>
    </rPh>
    <phoneticPr fontId="4"/>
  </si>
  <si>
    <t>⑧</t>
    <phoneticPr fontId="4"/>
  </si>
  <si>
    <t>工期（契約時）の終期</t>
    <rPh sb="0" eb="2">
      <t>コウキ</t>
    </rPh>
    <rPh sb="3" eb="5">
      <t>ケイヤク</t>
    </rPh>
    <rPh sb="5" eb="6">
      <t>ジ</t>
    </rPh>
    <rPh sb="8" eb="10">
      <t>シュウキ</t>
    </rPh>
    <phoneticPr fontId="4"/>
  </si>
  <si>
    <t>Yes/No</t>
    <phoneticPr fontId="5"/>
  </si>
  <si>
    <t>Yes</t>
    <phoneticPr fontId="5"/>
  </si>
  <si>
    <t>No</t>
    <phoneticPr fontId="5"/>
  </si>
  <si>
    <t>余裕期間の方法</t>
    <rPh sb="0" eb="2">
      <t>ヨユウ</t>
    </rPh>
    <rPh sb="2" eb="4">
      <t>キカン</t>
    </rPh>
    <rPh sb="5" eb="7">
      <t>ホウホウ</t>
    </rPh>
    <phoneticPr fontId="5"/>
  </si>
  <si>
    <t>任意着手方式</t>
    <rPh sb="0" eb="2">
      <t>ニンイ</t>
    </rPh>
    <rPh sb="2" eb="4">
      <t>チャクシュ</t>
    </rPh>
    <rPh sb="4" eb="6">
      <t>ホウシキ</t>
    </rPh>
    <phoneticPr fontId="5"/>
  </si>
  <si>
    <t>フレックス方式</t>
    <rPh sb="5" eb="7">
      <t>ホウシキ</t>
    </rPh>
    <phoneticPr fontId="5"/>
  </si>
  <si>
    <t>③</t>
    <phoneticPr fontId="4"/>
  </si>
  <si>
    <t>④</t>
    <phoneticPr fontId="4"/>
  </si>
  <si>
    <t>日</t>
    <phoneticPr fontId="4"/>
  </si>
  <si>
    <t>⑨</t>
  </si>
  <si>
    <t>車線規制</t>
    <rPh sb="0" eb="2">
      <t>シャセン</t>
    </rPh>
    <rPh sb="2" eb="4">
      <t>キセイ</t>
    </rPh>
    <phoneticPr fontId="5"/>
  </si>
  <si>
    <t>全面通行止め（常時）</t>
    <rPh sb="0" eb="2">
      <t>ゼンメン</t>
    </rPh>
    <rPh sb="2" eb="4">
      <t>ツウコウ</t>
    </rPh>
    <rPh sb="4" eb="5">
      <t>ド</t>
    </rPh>
    <rPh sb="7" eb="9">
      <t>ジョウジ</t>
    </rPh>
    <phoneticPr fontId="5"/>
  </si>
  <si>
    <t>全面通行止め（一時）</t>
    <rPh sb="0" eb="2">
      <t>ゼンメン</t>
    </rPh>
    <rPh sb="2" eb="4">
      <t>ツウコウ</t>
    </rPh>
    <rPh sb="4" eb="5">
      <t>ド</t>
    </rPh>
    <rPh sb="7" eb="9">
      <t>イチジ</t>
    </rPh>
    <phoneticPr fontId="5"/>
  </si>
  <si>
    <t>片側交互通行規制</t>
    <rPh sb="0" eb="2">
      <t>カタガワ</t>
    </rPh>
    <rPh sb="2" eb="4">
      <t>コウゴ</t>
    </rPh>
    <rPh sb="4" eb="6">
      <t>ツウコウ</t>
    </rPh>
    <rPh sb="6" eb="8">
      <t>キセイ</t>
    </rPh>
    <phoneticPr fontId="5"/>
  </si>
  <si>
    <t>路肩規制</t>
    <rPh sb="0" eb="2">
      <t>ロカタ</t>
    </rPh>
    <rPh sb="2" eb="4">
      <t>キセイ</t>
    </rPh>
    <phoneticPr fontId="5"/>
  </si>
  <si>
    <t>歩道規制</t>
    <rPh sb="0" eb="2">
      <t>ホドウ</t>
    </rPh>
    <rPh sb="2" eb="4">
      <t>キセイ</t>
    </rPh>
    <phoneticPr fontId="5"/>
  </si>
  <si>
    <t>日交通量（最新センサスデータ）</t>
    <rPh sb="0" eb="1">
      <t>ニチ</t>
    </rPh>
    <rPh sb="1" eb="3">
      <t>コウツウ</t>
    </rPh>
    <rPh sb="3" eb="4">
      <t>リョウ</t>
    </rPh>
    <rPh sb="5" eb="7">
      <t>サイシン</t>
    </rPh>
    <phoneticPr fontId="5"/>
  </si>
  <si>
    <t>※代表路線の24時間交通量上下合計を入力して下さい。</t>
    <rPh sb="1" eb="3">
      <t>ダイヒョウ</t>
    </rPh>
    <rPh sb="3" eb="5">
      <t>ロセン</t>
    </rPh>
    <rPh sb="8" eb="10">
      <t>ジカン</t>
    </rPh>
    <rPh sb="10" eb="12">
      <t>コウツウ</t>
    </rPh>
    <rPh sb="12" eb="13">
      <t>リョウ</t>
    </rPh>
    <rPh sb="13" eb="15">
      <t>ジョウゲ</t>
    </rPh>
    <rPh sb="15" eb="17">
      <t>ゴウケイ</t>
    </rPh>
    <rPh sb="18" eb="20">
      <t>ニュウリョク</t>
    </rPh>
    <rPh sb="22" eb="23">
      <t>クダ</t>
    </rPh>
    <phoneticPr fontId="5"/>
  </si>
  <si>
    <t>補正値</t>
    <rPh sb="0" eb="2">
      <t>ホセイ</t>
    </rPh>
    <rPh sb="2" eb="3">
      <t>チ</t>
    </rPh>
    <phoneticPr fontId="5"/>
  </si>
  <si>
    <t>設定準備期間日数</t>
    <rPh sb="0" eb="2">
      <t>セッテイ</t>
    </rPh>
    <rPh sb="2" eb="4">
      <t>ジュンビ</t>
    </rPh>
    <rPh sb="4" eb="6">
      <t>キカン</t>
    </rPh>
    <rPh sb="6" eb="8">
      <t>ニッスウ</t>
    </rPh>
    <phoneticPr fontId="4"/>
  </si>
  <si>
    <t>整理番号</t>
  </si>
  <si>
    <t>ファイル種別</t>
    <rPh sb="4" eb="6">
      <t>シュベツ</t>
    </rPh>
    <phoneticPr fontId="69"/>
  </si>
  <si>
    <t>省庁</t>
  </si>
  <si>
    <t>局</t>
  </si>
  <si>
    <t>抽出年度
（調査票Ver）</t>
    <phoneticPr fontId="69"/>
  </si>
  <si>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</si>
  <si>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</si>
  <si>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</si>
  <si>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</si>
  <si>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</si>
  <si>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</si>
  <si>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</si>
  <si>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</si>
  <si>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</si>
  <si>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</si>
  <si>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</si>
  <si>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</si>
  <si>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</si>
  <si>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</si>
  <si>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</si>
  <si>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</si>
  <si>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</si>
  <si>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</si>
  <si>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</si>
  <si>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発注</t>
    <rPh sb="0" eb="2">
      <t>ハッチュウ</t>
    </rPh>
    <phoneticPr fontId="69"/>
  </si>
  <si>
    <t>宿泊費</t>
    <phoneticPr fontId="5"/>
  </si>
  <si>
    <t>監督員詰所等</t>
    <phoneticPr fontId="5"/>
  </si>
  <si>
    <t>快適トイレ費用</t>
    <rPh sb="0" eb="2">
      <t>カイテキ</t>
    </rPh>
    <rPh sb="5" eb="7">
      <t>ヒヨウ</t>
    </rPh>
    <phoneticPr fontId="5"/>
  </si>
  <si>
    <t>以下の条件では共通仮設費率分の入力と自動計算値が一致しない場合があります。
　①H28以前の基準による積算の場合（変数値、共通仮設費率が改訂されている場合）
　②随意契約による補正がある場合
　③複数工種による合算工事の場合
　④独自の共通仮設費率を用いている場合</t>
    <rPh sb="98" eb="100">
      <t>フクスウ</t>
    </rPh>
    <rPh sb="100" eb="102">
      <t>コウシュ</t>
    </rPh>
    <rPh sb="105" eb="107">
      <t>ガッサン</t>
    </rPh>
    <rPh sb="107" eb="109">
      <t>コウジ</t>
    </rPh>
    <rPh sb="110" eb="112">
      <t>バアイ</t>
    </rPh>
    <phoneticPr fontId="5"/>
  </si>
  <si>
    <t>Kr＝A×P ^ b
        Kr ：共通仮設費率（H28基準）
　　　　P ：対象額
　　　　A ：変数値（H28基準）
　　　　ｂ ：変数値（H28基準）</t>
  </si>
  <si>
    <t>A　快適ﾄｲﾚ費用「ト 営繕費」のうち、快適ﾄｲﾚ費用</t>
    <phoneticPr fontId="5"/>
  </si>
  <si>
    <t>設定作業不能日数</t>
    <rPh sb="0" eb="2">
      <t>セッテイ</t>
    </rPh>
    <rPh sb="2" eb="4">
      <t>サギョウ</t>
    </rPh>
    <rPh sb="4" eb="6">
      <t>フノウ</t>
    </rPh>
    <rPh sb="6" eb="8">
      <t>ニッスウ</t>
    </rPh>
    <phoneticPr fontId="4"/>
  </si>
  <si>
    <t>導入の有無</t>
    <rPh sb="0" eb="2">
      <t>ドウニュウ</t>
    </rPh>
    <rPh sb="3" eb="5">
      <t>ウム</t>
    </rPh>
    <phoneticPr fontId="5"/>
  </si>
  <si>
    <t>快適トイレの有無と導入基数</t>
    <rPh sb="0" eb="2">
      <t>カイテキ</t>
    </rPh>
    <rPh sb="6" eb="8">
      <t>ウム</t>
    </rPh>
    <rPh sb="9" eb="11">
      <t>ドウニュウ</t>
    </rPh>
    <rPh sb="11" eb="13">
      <t>キスウ</t>
    </rPh>
    <phoneticPr fontId="5"/>
  </si>
  <si>
    <t>男性用の基数</t>
    <rPh sb="0" eb="3">
      <t>ダンセイヨウ</t>
    </rPh>
    <rPh sb="4" eb="6">
      <t>キスウ</t>
    </rPh>
    <phoneticPr fontId="4"/>
  </si>
  <si>
    <t>女性用の基数</t>
    <rPh sb="0" eb="2">
      <t>ジョセイ</t>
    </rPh>
    <rPh sb="2" eb="3">
      <t>ヨウ</t>
    </rPh>
    <phoneticPr fontId="4"/>
  </si>
  <si>
    <t>１．未入力・エラーの確認</t>
    <rPh sb="2" eb="5">
      <t>ミニュウリョク</t>
    </rPh>
    <rPh sb="10" eb="12">
      <t>カクニン</t>
    </rPh>
    <phoneticPr fontId="5"/>
  </si>
  <si>
    <t>B 処分費等</t>
    <rPh sb="2" eb="5">
      <t>ショブンヒ</t>
    </rPh>
    <rPh sb="5" eb="6">
      <t>トウ</t>
    </rPh>
    <phoneticPr fontId="5"/>
  </si>
  <si>
    <t>海岸土工</t>
    <rPh sb="0" eb="2">
      <t>カイガン</t>
    </rPh>
    <rPh sb="2" eb="3">
      <t>ド</t>
    </rPh>
    <rPh sb="3" eb="4">
      <t>コウ</t>
    </rPh>
    <phoneticPr fontId="5"/>
  </si>
  <si>
    <t>砂防土工</t>
    <rPh sb="0" eb="2">
      <t>サボウ</t>
    </rPh>
    <rPh sb="2" eb="3">
      <t>ド</t>
    </rPh>
    <rPh sb="3" eb="4">
      <t>コウ</t>
    </rPh>
    <phoneticPr fontId="5"/>
  </si>
  <si>
    <t>道路土工</t>
    <rPh sb="0" eb="2">
      <t>ドウロ</t>
    </rPh>
    <rPh sb="2" eb="3">
      <t>ド</t>
    </rPh>
    <rPh sb="3" eb="4">
      <t>コウ</t>
    </rPh>
    <phoneticPr fontId="5"/>
  </si>
  <si>
    <t>発注方式</t>
    <rPh sb="0" eb="2">
      <t>ハッチュウ</t>
    </rPh>
    <rPh sb="2" eb="4">
      <t>ホウシキ</t>
    </rPh>
    <phoneticPr fontId="5"/>
  </si>
  <si>
    <t>発注方式</t>
    <rPh sb="0" eb="2">
      <t>ハッチュウ</t>
    </rPh>
    <rPh sb="2" eb="4">
      <t>ホウシキ</t>
    </rPh>
    <phoneticPr fontId="5"/>
  </si>
  <si>
    <t>発注者指定型</t>
    <rPh sb="0" eb="3">
      <t>ハッチュウシャ</t>
    </rPh>
    <rPh sb="3" eb="5">
      <t>シテイ</t>
    </rPh>
    <rPh sb="5" eb="6">
      <t>ガタ</t>
    </rPh>
    <phoneticPr fontId="5"/>
  </si>
  <si>
    <t>施工者希望Ⅰ型</t>
    <rPh sb="0" eb="2">
      <t>セコウ</t>
    </rPh>
    <rPh sb="2" eb="3">
      <t>シャ</t>
    </rPh>
    <rPh sb="3" eb="5">
      <t>キボウ</t>
    </rPh>
    <rPh sb="6" eb="7">
      <t>カタ</t>
    </rPh>
    <phoneticPr fontId="5"/>
  </si>
  <si>
    <t>施工者希望Ⅱ型</t>
    <rPh sb="0" eb="2">
      <t>セコウ</t>
    </rPh>
    <rPh sb="2" eb="3">
      <t>シャ</t>
    </rPh>
    <rPh sb="3" eb="5">
      <t>キボウ</t>
    </rPh>
    <rPh sb="6" eb="7">
      <t>カタ</t>
    </rPh>
    <phoneticPr fontId="5"/>
  </si>
  <si>
    <t>協議</t>
    <rPh sb="0" eb="2">
      <t>キョウギ</t>
    </rPh>
    <phoneticPr fontId="5"/>
  </si>
  <si>
    <t>実施したICT活用技術</t>
    <rPh sb="0" eb="2">
      <t>ジッシ</t>
    </rPh>
    <rPh sb="7" eb="9">
      <t>カツヨウ</t>
    </rPh>
    <rPh sb="9" eb="11">
      <t>ギジュツ</t>
    </rPh>
    <phoneticPr fontId="5"/>
  </si>
  <si>
    <t>○</t>
    <phoneticPr fontId="5"/>
  </si>
  <si>
    <t>※労務費の内数</t>
    <rPh sb="1" eb="3">
      <t>ロウム</t>
    </rPh>
    <rPh sb="3" eb="4">
      <t>ヒ</t>
    </rPh>
    <rPh sb="5" eb="6">
      <t>ウチ</t>
    </rPh>
    <rPh sb="6" eb="7">
      <t>スウ</t>
    </rPh>
    <phoneticPr fontId="4"/>
  </si>
  <si>
    <t>台/日</t>
    <rPh sb="0" eb="1">
      <t>ダイ</t>
    </rPh>
    <rPh sb="2" eb="3">
      <t>ニチ</t>
    </rPh>
    <phoneticPr fontId="5"/>
  </si>
  <si>
    <t>○○県○○市○○町</t>
    <rPh sb="2" eb="3">
      <t>ケン</t>
    </rPh>
    <rPh sb="5" eb="6">
      <t>シ</t>
    </rPh>
    <rPh sb="8" eb="9">
      <t>マチ</t>
    </rPh>
    <phoneticPr fontId="4"/>
  </si>
  <si>
    <t>舗装工（切削オーバーレイ工）</t>
    <rPh sb="0" eb="2">
      <t>ホソウ</t>
    </rPh>
    <rPh sb="2" eb="3">
      <t>コウ</t>
    </rPh>
    <rPh sb="4" eb="6">
      <t>セッサク</t>
    </rPh>
    <rPh sb="12" eb="13">
      <t>コウ</t>
    </rPh>
    <phoneticPr fontId="4"/>
  </si>
  <si>
    <t>市街地</t>
    <rPh sb="0" eb="3">
      <t>シガイチ</t>
    </rPh>
    <phoneticPr fontId="4"/>
  </si>
  <si>
    <t>夜間施工</t>
    <rPh sb="0" eb="2">
      <t>ヤカン</t>
    </rPh>
    <rPh sb="2" eb="4">
      <t>セコウ</t>
    </rPh>
    <phoneticPr fontId="4"/>
  </si>
  <si>
    <t>路上</t>
    <rPh sb="0" eb="2">
      <t>ロジョウ</t>
    </rPh>
    <phoneticPr fontId="4"/>
  </si>
  <si>
    <t>保管場所あり</t>
    <rPh sb="0" eb="2">
      <t>ホカン</t>
    </rPh>
    <rPh sb="2" eb="4">
      <t>バショ</t>
    </rPh>
    <phoneticPr fontId="4"/>
  </si>
  <si>
    <t>○○県○○市△△町</t>
    <rPh sb="2" eb="3">
      <t>ケン</t>
    </rPh>
    <rPh sb="5" eb="6">
      <t>シ</t>
    </rPh>
    <rPh sb="8" eb="9">
      <t>マチ</t>
    </rPh>
    <phoneticPr fontId="4"/>
  </si>
  <si>
    <t>地方部（施工場所が一般交通等の影響を受ける地区）</t>
    <rPh sb="0" eb="3">
      <t>チホウブ</t>
    </rPh>
    <rPh sb="4" eb="6">
      <t>セコウ</t>
    </rPh>
    <rPh sb="6" eb="8">
      <t>バショ</t>
    </rPh>
    <rPh sb="9" eb="11">
      <t>イッパン</t>
    </rPh>
    <rPh sb="11" eb="13">
      <t>コウツウ</t>
    </rPh>
    <rPh sb="13" eb="14">
      <t>トウ</t>
    </rPh>
    <rPh sb="15" eb="17">
      <t>エイキョウ</t>
    </rPh>
    <rPh sb="18" eb="19">
      <t>ウ</t>
    </rPh>
    <rPh sb="21" eb="23">
      <t>チク</t>
    </rPh>
    <phoneticPr fontId="4"/>
  </si>
  <si>
    <t>昼間施工</t>
    <rPh sb="0" eb="2">
      <t>チュウカン</t>
    </rPh>
    <rPh sb="2" eb="4">
      <t>セコウ</t>
    </rPh>
    <phoneticPr fontId="4"/>
  </si>
  <si>
    <t>日々運搬回送</t>
    <rPh sb="0" eb="2">
      <t>ヒビ</t>
    </rPh>
    <rPh sb="2" eb="4">
      <t>ウンパン</t>
    </rPh>
    <rPh sb="4" eb="6">
      <t>カイソウ</t>
    </rPh>
    <phoneticPr fontId="4"/>
  </si>
  <si>
    <t>○○県○○市××町</t>
    <rPh sb="2" eb="3">
      <t>ケン</t>
    </rPh>
    <rPh sb="5" eb="6">
      <t>シ</t>
    </rPh>
    <rPh sb="8" eb="9">
      <t>マチ</t>
    </rPh>
    <phoneticPr fontId="4"/>
  </si>
  <si>
    <t>橋梁ジョイント補修工</t>
    <rPh sb="0" eb="2">
      <t>キョウリョウ</t>
    </rPh>
    <rPh sb="7" eb="9">
      <t>ホシュウ</t>
    </rPh>
    <rPh sb="9" eb="10">
      <t>コウ</t>
    </rPh>
    <phoneticPr fontId="4"/>
  </si>
  <si>
    <t>山間僻地及び離島</t>
    <rPh sb="0" eb="2">
      <t>サンカン</t>
    </rPh>
    <rPh sb="2" eb="4">
      <t>ヘキチ</t>
    </rPh>
    <rPh sb="4" eb="5">
      <t>オヨ</t>
    </rPh>
    <rPh sb="6" eb="8">
      <t>リトウ</t>
    </rPh>
    <phoneticPr fontId="4"/>
  </si>
  <si>
    <t>現場環境改善費の率分</t>
    <rPh sb="0" eb="2">
      <t>ゲンバ</t>
    </rPh>
    <rPh sb="2" eb="4">
      <t>カンキョウ</t>
    </rPh>
    <rPh sb="4" eb="6">
      <t>カイゼン</t>
    </rPh>
    <phoneticPr fontId="5"/>
  </si>
  <si>
    <t>現場環境改善費の積上分</t>
    <rPh sb="0" eb="2">
      <t>ゲンバ</t>
    </rPh>
    <rPh sb="2" eb="4">
      <t>カンキョウ</t>
    </rPh>
    <rPh sb="4" eb="6">
      <t>カイゼン</t>
    </rPh>
    <phoneticPr fontId="5"/>
  </si>
  <si>
    <t>1：大都市（1）（×2.0）</t>
    <rPh sb="2" eb="5">
      <t>ダイトシ</t>
    </rPh>
    <phoneticPr fontId="5"/>
  </si>
  <si>
    <t>2：大都市（2）（×1.5）</t>
    <rPh sb="2" eb="5">
      <t>ダイトシ</t>
    </rPh>
    <phoneticPr fontId="5"/>
  </si>
  <si>
    <t>3：市街地（DID補正）（1）（×1.3）</t>
    <rPh sb="2" eb="5">
      <t>シガイチ</t>
    </rPh>
    <rPh sb="9" eb="11">
      <t>ホセイ</t>
    </rPh>
    <phoneticPr fontId="5"/>
  </si>
  <si>
    <t>4:一般交通影響有（1）（×1.3）</t>
    <rPh sb="2" eb="4">
      <t>イッパン</t>
    </rPh>
    <rPh sb="4" eb="6">
      <t>コウツウ</t>
    </rPh>
    <rPh sb="6" eb="8">
      <t>エイキョウ</t>
    </rPh>
    <rPh sb="8" eb="9">
      <t>アリ</t>
    </rPh>
    <phoneticPr fontId="5"/>
  </si>
  <si>
    <t>5:一般交通影響有（2）（×1.2）</t>
    <rPh sb="2" eb="4">
      <t>イッパン</t>
    </rPh>
    <rPh sb="4" eb="6">
      <t>コウツウ</t>
    </rPh>
    <rPh sb="6" eb="8">
      <t>エイキョウ</t>
    </rPh>
    <rPh sb="8" eb="9">
      <t>アリ</t>
    </rPh>
    <phoneticPr fontId="5"/>
  </si>
  <si>
    <t>6：市街地（DID補正）（2）（×1.2）</t>
    <rPh sb="2" eb="5">
      <t>シガイチ</t>
    </rPh>
    <rPh sb="9" eb="11">
      <t>ホセイ</t>
    </rPh>
    <phoneticPr fontId="5"/>
  </si>
  <si>
    <t>1：市街地（1.5%）</t>
  </si>
  <si>
    <t>2：山間僻地及び離島（0.5%）</t>
  </si>
  <si>
    <t>ICT土工</t>
    <rPh sb="3" eb="4">
      <t>ド</t>
    </rPh>
    <rPh sb="4" eb="5">
      <t>コウ</t>
    </rPh>
    <phoneticPr fontId="5"/>
  </si>
  <si>
    <t>道路舗装工</t>
    <rPh sb="0" eb="2">
      <t>ドウロ</t>
    </rPh>
    <rPh sb="2" eb="4">
      <t>ホソウ</t>
    </rPh>
    <rPh sb="4" eb="5">
      <t>コウ</t>
    </rPh>
    <phoneticPr fontId="5"/>
  </si>
  <si>
    <t>（20170914追記）</t>
    <rPh sb="9" eb="11">
      <t>ツイキ</t>
    </rPh>
    <phoneticPr fontId="5"/>
  </si>
  <si>
    <t>一般事項F17（地域特性）がなくなれば消去。</t>
    <rPh sb="0" eb="2">
      <t>イッパン</t>
    </rPh>
    <rPh sb="2" eb="4">
      <t>ジコウ</t>
    </rPh>
    <rPh sb="8" eb="10">
      <t>チイキ</t>
    </rPh>
    <rPh sb="10" eb="12">
      <t>トクセイ</t>
    </rPh>
    <rPh sb="19" eb="21">
      <t>ショウキョ</t>
    </rPh>
    <phoneticPr fontId="5"/>
  </si>
  <si>
    <t>7：山間僻地及び離島（×1.3）</t>
  </si>
  <si>
    <t>8：一般交通影響無（×0.0）</t>
    <rPh sb="2" eb="4">
      <t>イッパン</t>
    </rPh>
    <rPh sb="4" eb="6">
      <t>コウツウ</t>
    </rPh>
    <rPh sb="6" eb="8">
      <t>エイキョウ</t>
    </rPh>
    <rPh sb="8" eb="9">
      <t>ナ</t>
    </rPh>
    <phoneticPr fontId="5"/>
  </si>
  <si>
    <t>共通仮設費(積上げ分)</t>
    <rPh sb="0" eb="2">
      <t>キョウツウ</t>
    </rPh>
    <rPh sb="2" eb="4">
      <t>カセツ</t>
    </rPh>
    <rPh sb="4" eb="5">
      <t>ヒ</t>
    </rPh>
    <phoneticPr fontId="4"/>
  </si>
  <si>
    <t>中核市</t>
    <rPh sb="0" eb="2">
      <t>チュウカク</t>
    </rPh>
    <rPh sb="2" eb="3">
      <t>シ</t>
    </rPh>
    <phoneticPr fontId="6"/>
  </si>
  <si>
    <t>東京都</t>
    <rPh sb="0" eb="3">
      <t>トウキョウト</t>
    </rPh>
    <phoneticPr fontId="6"/>
  </si>
  <si>
    <t>沖縄県</t>
    <rPh sb="0" eb="3">
      <t>オキナワケン</t>
    </rPh>
    <phoneticPr fontId="6"/>
  </si>
  <si>
    <t>八戸市</t>
  </si>
  <si>
    <t>022039</t>
  </si>
  <si>
    <t>佐賀県</t>
    <rPh sb="0" eb="3">
      <t>サガケン</t>
    </rPh>
    <phoneticPr fontId="6"/>
  </si>
  <si>
    <t>その他</t>
    <rPh sb="2" eb="3">
      <t>タ</t>
    </rPh>
    <phoneticPr fontId="6"/>
  </si>
  <si>
    <t>　　３現場環境改善費（率分+積上げ）</t>
    <rPh sb="3" eb="5">
      <t>ゲンバ</t>
    </rPh>
    <rPh sb="5" eb="7">
      <t>カンキョウ</t>
    </rPh>
    <rPh sb="7" eb="9">
      <t>カイゼン</t>
    </rPh>
    <rPh sb="9" eb="10">
      <t>ヒ</t>
    </rPh>
    <rPh sb="11" eb="12">
      <t>リツ</t>
    </rPh>
    <rPh sb="12" eb="13">
      <t>ブン</t>
    </rPh>
    <rPh sb="14" eb="16">
      <t>ツミア</t>
    </rPh>
    <phoneticPr fontId="5"/>
  </si>
  <si>
    <t>現場環境改善費</t>
    <rPh sb="0" eb="2">
      <t>ゲンバ</t>
    </rPh>
    <rPh sb="2" eb="4">
      <t>カンキョウ</t>
    </rPh>
    <rPh sb="4" eb="6">
      <t>カイゼン</t>
    </rPh>
    <phoneticPr fontId="5"/>
  </si>
  <si>
    <t>地域連携</t>
    <rPh sb="0" eb="2">
      <t>チイキ</t>
    </rPh>
    <rPh sb="2" eb="4">
      <t>レンケイ</t>
    </rPh>
    <phoneticPr fontId="5"/>
  </si>
  <si>
    <r>
      <t>CORINS登録</t>
    </r>
    <r>
      <rPr>
        <sz val="11"/>
        <rFont val="ＭＳ Ｐゴシック"/>
        <family val="3"/>
        <charset val="128"/>
      </rPr>
      <t>番号</t>
    </r>
    <rPh sb="6" eb="8">
      <t>トウロク</t>
    </rPh>
    <rPh sb="8" eb="10">
      <t>バンゴウ</t>
    </rPh>
    <phoneticPr fontId="24"/>
  </si>
  <si>
    <t>発注年度</t>
    <rPh sb="0" eb="2">
      <t>ハッチュウ</t>
    </rPh>
    <rPh sb="2" eb="4">
      <t>ネンド</t>
    </rPh>
    <phoneticPr fontId="24"/>
  </si>
  <si>
    <t>H29年度</t>
    <rPh sb="3" eb="5">
      <t>ネンド</t>
    </rPh>
    <phoneticPr fontId="24"/>
  </si>
  <si>
    <t>H28年度以前</t>
    <rPh sb="3" eb="5">
      <t>ネンド</t>
    </rPh>
    <rPh sb="5" eb="7">
      <t>イゼン</t>
    </rPh>
    <phoneticPr fontId="6"/>
  </si>
  <si>
    <t>1：大都市（1）（×2.0）</t>
    <rPh sb="2" eb="5">
      <t>ダイトシ</t>
    </rPh>
    <phoneticPr fontId="6"/>
  </si>
  <si>
    <t>2：大都市（2）（×1.5）</t>
    <rPh sb="2" eb="5">
      <t>ダイトシ</t>
    </rPh>
    <phoneticPr fontId="6"/>
  </si>
  <si>
    <t>3：市街地（DID補正）（1）（×1.3）</t>
    <rPh sb="2" eb="5">
      <t>シガイチ</t>
    </rPh>
    <rPh sb="9" eb="11">
      <t>ホセイ</t>
    </rPh>
    <phoneticPr fontId="6"/>
  </si>
  <si>
    <t>3：地方部（一般交通等の影響を受ける場合）（1.5%）</t>
    <rPh sb="4" eb="5">
      <t>ブ</t>
    </rPh>
    <rPh sb="6" eb="8">
      <t>イッパン</t>
    </rPh>
    <rPh sb="8" eb="10">
      <t>コウツウ</t>
    </rPh>
    <rPh sb="10" eb="11">
      <t>トウ</t>
    </rPh>
    <rPh sb="12" eb="14">
      <t>エイキョウ</t>
    </rPh>
    <rPh sb="15" eb="16">
      <t>ウ</t>
    </rPh>
    <rPh sb="18" eb="20">
      <t>バアイ</t>
    </rPh>
    <phoneticPr fontId="6"/>
  </si>
  <si>
    <t>4：一般交通影響有り（1）（×1.3）</t>
    <rPh sb="2" eb="4">
      <t>イッパン</t>
    </rPh>
    <rPh sb="4" eb="6">
      <t>コウツウ</t>
    </rPh>
    <rPh sb="6" eb="8">
      <t>エイキョウ</t>
    </rPh>
    <rPh sb="8" eb="9">
      <t>アリ</t>
    </rPh>
    <phoneticPr fontId="6"/>
  </si>
  <si>
    <t>5：一般交通影響有り（2）（×1.2）</t>
    <rPh sb="2" eb="4">
      <t>イッパン</t>
    </rPh>
    <rPh sb="4" eb="6">
      <t>コウツウ</t>
    </rPh>
    <rPh sb="6" eb="8">
      <t>エイキョウ</t>
    </rPh>
    <rPh sb="8" eb="9">
      <t>アリ</t>
    </rPh>
    <phoneticPr fontId="6"/>
  </si>
  <si>
    <t>6：市街地（DID補正）（2）（×1.2）</t>
    <rPh sb="2" eb="5">
      <t>シガイチ</t>
    </rPh>
    <rPh sb="9" eb="11">
      <t>ホセイ</t>
    </rPh>
    <phoneticPr fontId="6"/>
  </si>
  <si>
    <t>1：大都市（1）（×1.2）</t>
    <rPh sb="2" eb="5">
      <t>ダイトシ</t>
    </rPh>
    <phoneticPr fontId="6"/>
  </si>
  <si>
    <t>3：市街地（DID補正）（1）（×1.1）</t>
    <rPh sb="2" eb="5">
      <t>シガイチ</t>
    </rPh>
    <rPh sb="9" eb="11">
      <t>ホセイ</t>
    </rPh>
    <phoneticPr fontId="6"/>
  </si>
  <si>
    <t>3：地方部（一般交通等の影響を受ける場合）（1.0%）</t>
    <rPh sb="4" eb="5">
      <t>ブ</t>
    </rPh>
    <rPh sb="6" eb="8">
      <t>イッパン</t>
    </rPh>
    <rPh sb="8" eb="10">
      <t>コウツウ</t>
    </rPh>
    <rPh sb="10" eb="11">
      <t>トウ</t>
    </rPh>
    <rPh sb="12" eb="14">
      <t>エイキョウ</t>
    </rPh>
    <rPh sb="15" eb="16">
      <t>ウ</t>
    </rPh>
    <rPh sb="18" eb="20">
      <t>バアイ</t>
    </rPh>
    <phoneticPr fontId="6"/>
  </si>
  <si>
    <t>4：一般交通影響有り（1）（×1.1）</t>
    <rPh sb="2" eb="4">
      <t>イッパン</t>
    </rPh>
    <rPh sb="4" eb="6">
      <t>コウツウ</t>
    </rPh>
    <rPh sb="6" eb="8">
      <t>エイキョウ</t>
    </rPh>
    <rPh sb="8" eb="9">
      <t>アリ</t>
    </rPh>
    <phoneticPr fontId="6"/>
  </si>
  <si>
    <t>5：一般交通影響有り（2）（×1.1）</t>
    <rPh sb="2" eb="4">
      <t>イッパン</t>
    </rPh>
    <rPh sb="4" eb="6">
      <t>コウツウ</t>
    </rPh>
    <rPh sb="6" eb="8">
      <t>エイキョウ</t>
    </rPh>
    <rPh sb="8" eb="9">
      <t>アリ</t>
    </rPh>
    <phoneticPr fontId="6"/>
  </si>
  <si>
    <t>6：市街地（DID補正）（2）（×1.1）</t>
    <rPh sb="2" eb="5">
      <t>シガイチ</t>
    </rPh>
    <rPh sb="9" eb="11">
      <t>ホセイ</t>
    </rPh>
    <phoneticPr fontId="6"/>
  </si>
  <si>
    <t>7：山間僻地及び離島（×1.0）</t>
  </si>
  <si>
    <t>山間僻地</t>
    <rPh sb="0" eb="2">
      <t>サンカン</t>
    </rPh>
    <rPh sb="2" eb="4">
      <t>ヘキチ</t>
    </rPh>
    <phoneticPr fontId="69"/>
  </si>
  <si>
    <t>離島</t>
    <rPh sb="0" eb="2">
      <t>リトウ</t>
    </rPh>
    <phoneticPr fontId="69"/>
  </si>
  <si>
    <t>復興係数による補正（熊本県）</t>
    <rPh sb="0" eb="2">
      <t>フッコウ</t>
    </rPh>
    <rPh sb="2" eb="4">
      <t>ケイスウ</t>
    </rPh>
    <rPh sb="7" eb="9">
      <t>ホセイ</t>
    </rPh>
    <rPh sb="10" eb="13">
      <t>クマモトケン</t>
    </rPh>
    <phoneticPr fontId="24"/>
  </si>
  <si>
    <t>週休２日補正</t>
    <rPh sb="0" eb="2">
      <t>シュウキュウ</t>
    </rPh>
    <rPh sb="3" eb="4">
      <t>ニチ</t>
    </rPh>
    <rPh sb="4" eb="6">
      <t>ホセイ</t>
    </rPh>
    <phoneticPr fontId="24"/>
  </si>
  <si>
    <t>復興係数による補正
（岩手県、宮城県、福島県）</t>
    <rPh sb="0" eb="2">
      <t>フッコウ</t>
    </rPh>
    <rPh sb="2" eb="4">
      <t>ケイスウ</t>
    </rPh>
    <rPh sb="7" eb="9">
      <t>ホセイ</t>
    </rPh>
    <rPh sb="11" eb="14">
      <t>イワテケン</t>
    </rPh>
    <rPh sb="15" eb="18">
      <t>ミヤギケン</t>
    </rPh>
    <rPh sb="19" eb="22">
      <t>フクシマケン</t>
    </rPh>
    <phoneticPr fontId="24"/>
  </si>
  <si>
    <t>「山間僻地及び離島」の場合、
「山間僻地」または「離島」を選択</t>
    <rPh sb="1" eb="3">
      <t>サンカン</t>
    </rPh>
    <rPh sb="3" eb="5">
      <t>ヘキチ</t>
    </rPh>
    <rPh sb="5" eb="6">
      <t>オヨ</t>
    </rPh>
    <rPh sb="7" eb="9">
      <t>リトウ</t>
    </rPh>
    <rPh sb="11" eb="13">
      <t>バアイ</t>
    </rPh>
    <rPh sb="16" eb="18">
      <t>サンカン</t>
    </rPh>
    <rPh sb="18" eb="20">
      <t>ヘキチ</t>
    </rPh>
    <rPh sb="25" eb="27">
      <t>リトウ</t>
    </rPh>
    <rPh sb="29" eb="31">
      <t>センタク</t>
    </rPh>
    <phoneticPr fontId="24"/>
  </si>
  <si>
    <t>「一般交通影響有り（１）（２）」を
選択した場合、市街地（DID地区）か</t>
    <rPh sb="1" eb="3">
      <t>イッパン</t>
    </rPh>
    <rPh sb="3" eb="5">
      <t>コウツウ</t>
    </rPh>
    <rPh sb="5" eb="7">
      <t>エイキョウ</t>
    </rPh>
    <rPh sb="7" eb="8">
      <t>ア</t>
    </rPh>
    <rPh sb="18" eb="20">
      <t>センタク</t>
    </rPh>
    <rPh sb="22" eb="24">
      <t>バアイ</t>
    </rPh>
    <rPh sb="25" eb="28">
      <t>シガイチ</t>
    </rPh>
    <rPh sb="32" eb="34">
      <t>チク</t>
    </rPh>
    <phoneticPr fontId="5"/>
  </si>
  <si>
    <t>2：補正無し</t>
    <rPh sb="2" eb="4">
      <t>ホセイ</t>
    </rPh>
    <rPh sb="4" eb="5">
      <t>ナ</t>
    </rPh>
    <phoneticPr fontId="24"/>
  </si>
  <si>
    <r>
      <t>1：補正有り(</t>
    </r>
    <r>
      <rPr>
        <sz val="10"/>
        <rFont val="ＭＳ Ｐゴシック"/>
        <family val="3"/>
        <charset val="128"/>
      </rPr>
      <t>×1.5)</t>
    </r>
    <rPh sb="2" eb="4">
      <t>ホセイ</t>
    </rPh>
    <rPh sb="4" eb="5">
      <t>ア</t>
    </rPh>
    <phoneticPr fontId="69"/>
  </si>
  <si>
    <t>東日本大震災復興補正（共通仮設）</t>
    <rPh sb="0" eb="1">
      <t>ヒガシ</t>
    </rPh>
    <rPh sb="1" eb="3">
      <t>ニホン</t>
    </rPh>
    <rPh sb="3" eb="6">
      <t>ダイシンサイ</t>
    </rPh>
    <rPh sb="6" eb="8">
      <t>フッコウ</t>
    </rPh>
    <rPh sb="8" eb="10">
      <t>ホセイ</t>
    </rPh>
    <rPh sb="11" eb="13">
      <t>キョウツウ</t>
    </rPh>
    <rPh sb="13" eb="15">
      <t>カセツ</t>
    </rPh>
    <phoneticPr fontId="5"/>
  </si>
  <si>
    <t>東日本大震災復興補正（現場管理）</t>
    <rPh sb="0" eb="1">
      <t>ヒガシ</t>
    </rPh>
    <rPh sb="1" eb="3">
      <t>ニホン</t>
    </rPh>
    <rPh sb="3" eb="6">
      <t>ダイシンサイ</t>
    </rPh>
    <rPh sb="6" eb="8">
      <t>フッコウ</t>
    </rPh>
    <rPh sb="8" eb="10">
      <t>ホセイ</t>
    </rPh>
    <rPh sb="11" eb="13">
      <t>ゲンバ</t>
    </rPh>
    <rPh sb="13" eb="15">
      <t>カンリ</t>
    </rPh>
    <phoneticPr fontId="5"/>
  </si>
  <si>
    <r>
      <t>1：補正有り(</t>
    </r>
    <r>
      <rPr>
        <sz val="10"/>
        <rFont val="ＭＳ Ｐゴシック"/>
        <family val="3"/>
        <charset val="128"/>
      </rPr>
      <t>×1.2)</t>
    </r>
    <rPh sb="2" eb="4">
      <t>ホセイ</t>
    </rPh>
    <rPh sb="4" eb="5">
      <t>ア</t>
    </rPh>
    <phoneticPr fontId="69"/>
  </si>
  <si>
    <t>その他補正有無</t>
    <rPh sb="2" eb="3">
      <t>タ</t>
    </rPh>
    <rPh sb="3" eb="5">
      <t>ホセイ</t>
    </rPh>
    <rPh sb="5" eb="7">
      <t>ウム</t>
    </rPh>
    <phoneticPr fontId="5"/>
  </si>
  <si>
    <t>1：補正有り</t>
    <rPh sb="2" eb="4">
      <t>ホセイ</t>
    </rPh>
    <rPh sb="4" eb="5">
      <t>ア</t>
    </rPh>
    <phoneticPr fontId="69"/>
  </si>
  <si>
    <r>
      <t>I</t>
    </r>
    <r>
      <rPr>
        <sz val="11"/>
        <rFont val="ＭＳ Ｐゴシック"/>
        <family val="3"/>
        <charset val="128"/>
      </rPr>
      <t>CT</t>
    </r>
    <r>
      <rPr>
        <sz val="11"/>
        <rFont val="ＭＳ Ｐゴシック"/>
        <family val="3"/>
        <charset val="128"/>
      </rPr>
      <t>活用工事</t>
    </r>
    <rPh sb="3" eb="5">
      <t>カツヨウ</t>
    </rPh>
    <rPh sb="5" eb="7">
      <t>コウジ</t>
    </rPh>
    <phoneticPr fontId="5"/>
  </si>
  <si>
    <t>施工箇所点在型積算</t>
    <rPh sb="0" eb="2">
      <t>セコウ</t>
    </rPh>
    <rPh sb="2" eb="4">
      <t>カショ</t>
    </rPh>
    <rPh sb="4" eb="7">
      <t>テンザイガタ</t>
    </rPh>
    <rPh sb="7" eb="9">
      <t>セキサン</t>
    </rPh>
    <phoneticPr fontId="5"/>
  </si>
  <si>
    <t>施工箇所点在型積算の適用</t>
    <rPh sb="0" eb="2">
      <t>セコウ</t>
    </rPh>
    <rPh sb="2" eb="4">
      <t>カショ</t>
    </rPh>
    <rPh sb="4" eb="7">
      <t>テンザイガタ</t>
    </rPh>
    <rPh sb="7" eb="9">
      <t>セキサン</t>
    </rPh>
    <rPh sb="10" eb="12">
      <t>テキヨウ</t>
    </rPh>
    <phoneticPr fontId="5"/>
  </si>
  <si>
    <t>適用工種判定用</t>
    <rPh sb="0" eb="2">
      <t>テキヨウ</t>
    </rPh>
    <rPh sb="2" eb="3">
      <t>コウ</t>
    </rPh>
    <rPh sb="3" eb="4">
      <t>シュ</t>
    </rPh>
    <rPh sb="4" eb="6">
      <t>ハンテイ</t>
    </rPh>
    <rPh sb="6" eb="7">
      <t>ヨウ</t>
    </rPh>
    <phoneticPr fontId="5"/>
  </si>
  <si>
    <t>鋼橋架設工事</t>
    <phoneticPr fontId="5"/>
  </si>
  <si>
    <t>舗装工事（新設）</t>
    <rPh sb="0" eb="2">
      <t>ホソウ</t>
    </rPh>
    <rPh sb="2" eb="4">
      <t>コウジ</t>
    </rPh>
    <rPh sb="5" eb="7">
      <t>シンセツ</t>
    </rPh>
    <phoneticPr fontId="5"/>
  </si>
  <si>
    <t>舗装工事（修繕工事）</t>
    <rPh sb="0" eb="2">
      <t>ホソウ</t>
    </rPh>
    <rPh sb="2" eb="4">
      <t>コウジ</t>
    </rPh>
    <rPh sb="5" eb="7">
      <t>シュウゼン</t>
    </rPh>
    <rPh sb="7" eb="9">
      <t>コウジ</t>
    </rPh>
    <phoneticPr fontId="5"/>
  </si>
  <si>
    <t>道路維持工事</t>
    <phoneticPr fontId="5"/>
  </si>
  <si>
    <t>電線共同溝工事</t>
    <phoneticPr fontId="5"/>
  </si>
  <si>
    <t>※H27以前発注工事の場合</t>
    <rPh sb="4" eb="6">
      <t>イゼン</t>
    </rPh>
    <rPh sb="6" eb="8">
      <t>ハッチュウ</t>
    </rPh>
    <rPh sb="8" eb="10">
      <t>コウジ</t>
    </rPh>
    <rPh sb="11" eb="13">
      <t>バアイ</t>
    </rPh>
    <phoneticPr fontId="69"/>
  </si>
  <si>
    <t>安全費の内、交通誘導警備員の計上</t>
    <rPh sb="0" eb="2">
      <t>アンゼン</t>
    </rPh>
    <rPh sb="2" eb="3">
      <t>ヒ</t>
    </rPh>
    <rPh sb="4" eb="5">
      <t>ウチ</t>
    </rPh>
    <rPh sb="6" eb="8">
      <t>コウツウ</t>
    </rPh>
    <rPh sb="8" eb="10">
      <t>ユウドウ</t>
    </rPh>
    <rPh sb="10" eb="13">
      <t>ケイビイン</t>
    </rPh>
    <rPh sb="14" eb="16">
      <t>ケイジョウ</t>
    </rPh>
    <phoneticPr fontId="69"/>
  </si>
  <si>
    <t>積算に用いた現場管理費冬期補正率</t>
    <rPh sb="0" eb="2">
      <t>セキサン</t>
    </rPh>
    <rPh sb="3" eb="4">
      <t>モチ</t>
    </rPh>
    <rPh sb="6" eb="8">
      <t>ゲンバ</t>
    </rPh>
    <rPh sb="8" eb="11">
      <t>カンリヒ</t>
    </rPh>
    <rPh sb="11" eb="13">
      <t>トウキ</t>
    </rPh>
    <rPh sb="13" eb="15">
      <t>ホセイ</t>
    </rPh>
    <rPh sb="15" eb="16">
      <t>リツ</t>
    </rPh>
    <phoneticPr fontId="6"/>
  </si>
  <si>
    <t>発注年度</t>
    <rPh sb="0" eb="2">
      <t>ハッチュウ</t>
    </rPh>
    <rPh sb="2" eb="4">
      <t>ネンド</t>
    </rPh>
    <phoneticPr fontId="5"/>
  </si>
  <si>
    <t>ＩＣＴ活用工事に係る設計金額等調査</t>
    <rPh sb="3" eb="5">
      <t>カツヨウ</t>
    </rPh>
    <rPh sb="5" eb="7">
      <t>コウジ</t>
    </rPh>
    <rPh sb="8" eb="9">
      <t>カカ</t>
    </rPh>
    <rPh sb="10" eb="12">
      <t>セッケイ</t>
    </rPh>
    <rPh sb="12" eb="14">
      <t>キンガク</t>
    </rPh>
    <rPh sb="14" eb="15">
      <t>トウ</t>
    </rPh>
    <rPh sb="15" eb="17">
      <t>チョウサ</t>
    </rPh>
    <phoneticPr fontId="5"/>
  </si>
  <si>
    <t>※本シートは、ＩＣＴ活用工事を実施した場合のみご記入ください。</t>
    <rPh sb="1" eb="2">
      <t>ホン</t>
    </rPh>
    <rPh sb="10" eb="12">
      <t>カツヨウ</t>
    </rPh>
    <rPh sb="12" eb="14">
      <t>コウジ</t>
    </rPh>
    <rPh sb="15" eb="17">
      <t>ジッシ</t>
    </rPh>
    <rPh sb="19" eb="21">
      <t>バアイ</t>
    </rPh>
    <rPh sb="24" eb="26">
      <t>キニュウ</t>
    </rPh>
    <phoneticPr fontId="5"/>
  </si>
  <si>
    <t>その他の場合</t>
    <rPh sb="2" eb="3">
      <t>タ</t>
    </rPh>
    <rPh sb="4" eb="6">
      <t>バアイ</t>
    </rPh>
    <phoneticPr fontId="69"/>
  </si>
  <si>
    <t>ＩＣＴ活用工事の工種</t>
    <rPh sb="3" eb="5">
      <t>カツヨウ</t>
    </rPh>
    <rPh sb="5" eb="7">
      <t>コウジ</t>
    </rPh>
    <rPh sb="8" eb="10">
      <t>コウシュ</t>
    </rPh>
    <phoneticPr fontId="69"/>
  </si>
  <si>
    <t>設計金額</t>
    <rPh sb="0" eb="2">
      <t>セッケイ</t>
    </rPh>
    <rPh sb="2" eb="4">
      <t>キンガク</t>
    </rPh>
    <phoneticPr fontId="72"/>
  </si>
  <si>
    <t>直接工事費</t>
    <rPh sb="0" eb="2">
      <t>チョクセツ</t>
    </rPh>
    <rPh sb="2" eb="5">
      <t>コウジヒ</t>
    </rPh>
    <phoneticPr fontId="72"/>
  </si>
  <si>
    <t>千円</t>
    <rPh sb="0" eb="1">
      <t>セン</t>
    </rPh>
    <rPh sb="1" eb="2">
      <t>エン</t>
    </rPh>
    <phoneticPr fontId="5"/>
  </si>
  <si>
    <t>路体（築堤）盛土（ＩＣＴ）</t>
    <rPh sb="0" eb="1">
      <t>ロ</t>
    </rPh>
    <rPh sb="1" eb="2">
      <t>カラダ</t>
    </rPh>
    <rPh sb="3" eb="5">
      <t>チクテイ</t>
    </rPh>
    <rPh sb="6" eb="7">
      <t>モ</t>
    </rPh>
    <rPh sb="7" eb="8">
      <t>ツチ</t>
    </rPh>
    <phoneticPr fontId="72"/>
  </si>
  <si>
    <t>路床盛土（ＩＣＴ）</t>
    <rPh sb="0" eb="2">
      <t>ロショウ</t>
    </rPh>
    <rPh sb="2" eb="3">
      <t>モ</t>
    </rPh>
    <rPh sb="3" eb="4">
      <t>ツチ</t>
    </rPh>
    <phoneticPr fontId="72"/>
  </si>
  <si>
    <t>法面整形（ＩＣＴ）</t>
    <rPh sb="0" eb="2">
      <t>ノリメン</t>
    </rPh>
    <rPh sb="2" eb="4">
      <t>セイケイ</t>
    </rPh>
    <phoneticPr fontId="72"/>
  </si>
  <si>
    <t>不陸整正（ＩＣＴ）</t>
    <rPh sb="0" eb="2">
      <t>フリク</t>
    </rPh>
    <rPh sb="2" eb="4">
      <t>セイセイ</t>
    </rPh>
    <phoneticPr fontId="72"/>
  </si>
  <si>
    <t>下層路盤（車道・路肩部）（ＩＣＴ）</t>
    <rPh sb="0" eb="2">
      <t>カソウ</t>
    </rPh>
    <rPh sb="2" eb="4">
      <t>ロバン</t>
    </rPh>
    <rPh sb="5" eb="7">
      <t>シャドウ</t>
    </rPh>
    <rPh sb="8" eb="10">
      <t>ロカタ</t>
    </rPh>
    <rPh sb="10" eb="11">
      <t>ブ</t>
    </rPh>
    <phoneticPr fontId="72"/>
  </si>
  <si>
    <t>上層路盤（車道・路肩部）（ＩＣＴ）</t>
    <rPh sb="0" eb="2">
      <t>ジョウソウ</t>
    </rPh>
    <rPh sb="2" eb="4">
      <t>ロバン</t>
    </rPh>
    <rPh sb="5" eb="7">
      <t>シャドウ</t>
    </rPh>
    <rPh sb="8" eb="10">
      <t>ロカタ</t>
    </rPh>
    <rPh sb="10" eb="11">
      <t>ブ</t>
    </rPh>
    <phoneticPr fontId="72"/>
  </si>
  <si>
    <t>上記以外</t>
    <rPh sb="0" eb="2">
      <t>ジョウキ</t>
    </rPh>
    <rPh sb="2" eb="4">
      <t>イガイ</t>
    </rPh>
    <phoneticPr fontId="72"/>
  </si>
  <si>
    <t>合計</t>
    <rPh sb="0" eb="2">
      <t>ゴウケイ</t>
    </rPh>
    <phoneticPr fontId="72"/>
  </si>
  <si>
    <t>共通仮設費－技術管理費</t>
    <rPh sb="0" eb="2">
      <t>キョウツウ</t>
    </rPh>
    <rPh sb="2" eb="5">
      <t>カセツヒ</t>
    </rPh>
    <rPh sb="6" eb="8">
      <t>ギジュツ</t>
    </rPh>
    <rPh sb="8" eb="11">
      <t>カンリヒ</t>
    </rPh>
    <phoneticPr fontId="72"/>
  </si>
  <si>
    <t>システム初期費（ＩＣＴ）　BH</t>
    <rPh sb="4" eb="6">
      <t>ショキ</t>
    </rPh>
    <rPh sb="6" eb="7">
      <t>ヒ</t>
    </rPh>
    <phoneticPr fontId="72"/>
  </si>
  <si>
    <t>システム初期費（ＩＣＴ）　BD</t>
    <rPh sb="4" eb="6">
      <t>ショキ</t>
    </rPh>
    <rPh sb="6" eb="7">
      <t>ヒ</t>
    </rPh>
    <phoneticPr fontId="72"/>
  </si>
  <si>
    <t>システム初期費（ＩＣＴ）　MG</t>
    <rPh sb="4" eb="6">
      <t>ショキ</t>
    </rPh>
    <rPh sb="6" eb="7">
      <t>ヒ</t>
    </rPh>
    <phoneticPr fontId="72"/>
  </si>
  <si>
    <t>３次元起工測量</t>
    <rPh sb="1" eb="3">
      <t>ジゲン</t>
    </rPh>
    <rPh sb="3" eb="5">
      <t>キコウ</t>
    </rPh>
    <rPh sb="5" eb="7">
      <t>ソクリョウ</t>
    </rPh>
    <phoneticPr fontId="72"/>
  </si>
  <si>
    <t>３次元設計データ作成</t>
    <rPh sb="1" eb="3">
      <t>ジゲン</t>
    </rPh>
    <rPh sb="3" eb="5">
      <t>セッケイ</t>
    </rPh>
    <rPh sb="8" eb="10">
      <t>サクセイ</t>
    </rPh>
    <phoneticPr fontId="72"/>
  </si>
  <si>
    <t>上記以外の費目で計上</t>
    <rPh sb="0" eb="2">
      <t>ジョウキ</t>
    </rPh>
    <rPh sb="2" eb="4">
      <t>イガイ</t>
    </rPh>
    <rPh sb="5" eb="7">
      <t>ヒモク</t>
    </rPh>
    <rPh sb="8" eb="10">
      <t>ケイジョウ</t>
    </rPh>
    <phoneticPr fontId="72"/>
  </si>
  <si>
    <t>　　　計上費目（　 　　　 　　　　）</t>
    <rPh sb="3" eb="5">
      <t>ケイジョウ</t>
    </rPh>
    <rPh sb="5" eb="7">
      <t>ヒモク</t>
    </rPh>
    <phoneticPr fontId="72"/>
  </si>
  <si>
    <t>　　　計上費目（　　　　　　　　　）</t>
    <rPh sb="3" eb="5">
      <t>ケイジョウ</t>
    </rPh>
    <rPh sb="5" eb="7">
      <t>ヒモク</t>
    </rPh>
    <phoneticPr fontId="72"/>
  </si>
  <si>
    <t>ＩＣＴ活用工事に係る設計金額を記入して下さい。</t>
    <rPh sb="3" eb="5">
      <t>カツヨウ</t>
    </rPh>
    <rPh sb="5" eb="7">
      <t>コウジ</t>
    </rPh>
    <rPh sb="8" eb="9">
      <t>カカ</t>
    </rPh>
    <rPh sb="10" eb="12">
      <t>セッケイ</t>
    </rPh>
    <rPh sb="12" eb="14">
      <t>キンガク</t>
    </rPh>
    <rPh sb="15" eb="17">
      <t>キニュウ</t>
    </rPh>
    <rPh sb="19" eb="20">
      <t>クダ</t>
    </rPh>
    <phoneticPr fontId="72"/>
  </si>
  <si>
    <t>※「工事費」シートと同じく、最終設計書の一次官積の金額です。</t>
    <rPh sb="2" eb="5">
      <t>コウジヒ</t>
    </rPh>
    <rPh sb="10" eb="11">
      <t>オナ</t>
    </rPh>
    <rPh sb="14" eb="16">
      <t>サイシュウ</t>
    </rPh>
    <rPh sb="16" eb="19">
      <t>セッケイショ</t>
    </rPh>
    <rPh sb="20" eb="22">
      <t>イチジ</t>
    </rPh>
    <rPh sb="22" eb="24">
      <t>カンセキ</t>
    </rPh>
    <rPh sb="25" eb="27">
      <t>キンガク</t>
    </rPh>
    <phoneticPr fontId="72"/>
  </si>
  <si>
    <t>直接工事費合計に占めるＩＣＴ活用工事の割合</t>
    <rPh sb="0" eb="2">
      <t>チョクセツ</t>
    </rPh>
    <rPh sb="2" eb="5">
      <t>コウジヒ</t>
    </rPh>
    <rPh sb="5" eb="7">
      <t>ゴウケイ</t>
    </rPh>
    <rPh sb="8" eb="9">
      <t>シ</t>
    </rPh>
    <rPh sb="14" eb="16">
      <t>カツヨウ</t>
    </rPh>
    <rPh sb="16" eb="18">
      <t>コウジ</t>
    </rPh>
    <rPh sb="19" eb="21">
      <t>ワリアイ</t>
    </rPh>
    <phoneticPr fontId="69"/>
  </si>
  <si>
    <t>ICT種別</t>
    <rPh sb="3" eb="5">
      <t>シュベツ</t>
    </rPh>
    <phoneticPr fontId="5"/>
  </si>
  <si>
    <t>ICT土工</t>
    <rPh sb="3" eb="4">
      <t>ド</t>
    </rPh>
    <rPh sb="4" eb="5">
      <t>コウ</t>
    </rPh>
    <phoneticPr fontId="5"/>
  </si>
  <si>
    <t>その他</t>
    <rPh sb="2" eb="3">
      <t>タ</t>
    </rPh>
    <phoneticPr fontId="5"/>
  </si>
  <si>
    <t>ＩＣＴ</t>
    <phoneticPr fontId="5"/>
  </si>
  <si>
    <t>Ⅵ</t>
    <phoneticPr fontId="5"/>
  </si>
  <si>
    <t>Ⅶ</t>
    <phoneticPr fontId="5"/>
  </si>
  <si>
    <t>Ⅷ</t>
    <phoneticPr fontId="5"/>
  </si>
  <si>
    <t>Ⅸ</t>
    <phoneticPr fontId="5"/>
  </si>
  <si>
    <t>熊本復興補正</t>
    <rPh sb="0" eb="2">
      <t>クマモト</t>
    </rPh>
    <rPh sb="2" eb="4">
      <t>フッコウ</t>
    </rPh>
    <rPh sb="4" eb="6">
      <t>ホセイ</t>
    </rPh>
    <phoneticPr fontId="5"/>
  </si>
  <si>
    <r>
      <t>1：補正有り(</t>
    </r>
    <r>
      <rPr>
        <sz val="10"/>
        <rFont val="ＭＳ Ｐゴシック"/>
        <family val="3"/>
        <charset val="128"/>
      </rPr>
      <t>×</t>
    </r>
    <r>
      <rPr>
        <sz val="10"/>
        <rFont val="ＭＳ 明朝"/>
        <family val="1"/>
        <charset val="128"/>
      </rPr>
      <t>1.1</t>
    </r>
    <r>
      <rPr>
        <sz val="10"/>
        <rFont val="ＭＳ Ｐゴシック"/>
        <family val="3"/>
        <charset val="128"/>
      </rPr>
      <t>)</t>
    </r>
    <rPh sb="2" eb="4">
      <t>ホセイ</t>
    </rPh>
    <rPh sb="4" eb="5">
      <t>ア</t>
    </rPh>
    <phoneticPr fontId="69"/>
  </si>
  <si>
    <r>
      <t>2：補正有り(</t>
    </r>
    <r>
      <rPr>
        <sz val="10"/>
        <rFont val="ＭＳ Ｐゴシック"/>
        <family val="3"/>
        <charset val="128"/>
      </rPr>
      <t>×</t>
    </r>
    <r>
      <rPr>
        <sz val="10"/>
        <rFont val="ＭＳ 明朝"/>
        <family val="1"/>
        <charset val="128"/>
      </rPr>
      <t>1.4)</t>
    </r>
    <r>
      <rPr>
        <sz val="10"/>
        <rFont val="ＭＳ Ｐゴシック"/>
        <family val="3"/>
        <charset val="128"/>
      </rPr>
      <t/>
    </r>
    <rPh sb="2" eb="4">
      <t>ホセイ</t>
    </rPh>
    <rPh sb="4" eb="5">
      <t>ア</t>
    </rPh>
    <phoneticPr fontId="69"/>
  </si>
  <si>
    <t>3：補正無し</t>
    <rPh sb="2" eb="4">
      <t>ホセイ</t>
    </rPh>
    <rPh sb="4" eb="5">
      <t>ナ</t>
    </rPh>
    <phoneticPr fontId="24"/>
  </si>
  <si>
    <t>上記以外の補正（名称）</t>
    <rPh sb="0" eb="2">
      <t>ジョウキ</t>
    </rPh>
    <rPh sb="2" eb="4">
      <t>イガイ</t>
    </rPh>
    <rPh sb="5" eb="7">
      <t>ホセイ</t>
    </rPh>
    <rPh sb="8" eb="10">
      <t>メイショウ</t>
    </rPh>
    <phoneticPr fontId="5"/>
  </si>
  <si>
    <t>補正値（＋　％）</t>
    <rPh sb="0" eb="3">
      <t>ホセイチ</t>
    </rPh>
    <phoneticPr fontId="5"/>
  </si>
  <si>
    <t>一般競争入札（政府調達協定対象金額以上）</t>
    <phoneticPr fontId="5"/>
  </si>
  <si>
    <t>一般競争入札（政府調達協定対象金額未満）</t>
    <phoneticPr fontId="5"/>
  </si>
  <si>
    <t>8：補正無し</t>
    <rPh sb="2" eb="4">
      <t>ホセイ</t>
    </rPh>
    <rPh sb="4" eb="5">
      <t>ナ</t>
    </rPh>
    <phoneticPr fontId="6"/>
  </si>
  <si>
    <t>4：大都市（1）（×2.0）</t>
    <rPh sb="2" eb="5">
      <t>ダイトシ</t>
    </rPh>
    <phoneticPr fontId="6"/>
  </si>
  <si>
    <t>5：大都市（2）（×1.5）</t>
    <rPh sb="2" eb="5">
      <t>ダイトシ</t>
    </rPh>
    <phoneticPr fontId="6"/>
  </si>
  <si>
    <t>6：市街地（×1.3）</t>
    <rPh sb="2" eb="5">
      <t>シガイチ</t>
    </rPh>
    <phoneticPr fontId="6"/>
  </si>
  <si>
    <t>7：補正無し</t>
    <rPh sb="2" eb="4">
      <t>ホセイ</t>
    </rPh>
    <rPh sb="4" eb="5">
      <t>ナ</t>
    </rPh>
    <phoneticPr fontId="6"/>
  </si>
  <si>
    <t>4：大都市（1）（×1.2）</t>
    <rPh sb="2" eb="5">
      <t>ダイトシ</t>
    </rPh>
    <phoneticPr fontId="6"/>
  </si>
  <si>
    <t>5：大都市（2）（×1.2）</t>
    <rPh sb="2" eb="5">
      <t>ダイトシ</t>
    </rPh>
    <phoneticPr fontId="6"/>
  </si>
  <si>
    <t>6：市街地（×1.1）</t>
    <rPh sb="2" eb="5">
      <t>シガイチ</t>
    </rPh>
    <phoneticPr fontId="6"/>
  </si>
  <si>
    <t>8：補正無し</t>
    <phoneticPr fontId="6"/>
  </si>
  <si>
    <t>4：大都市（1）（×2.0）</t>
    <phoneticPr fontId="6"/>
  </si>
  <si>
    <t>4：大都市（1）（×2.0）</t>
    <phoneticPr fontId="6"/>
  </si>
  <si>
    <t>5：大都市（2）（×1.5）</t>
    <phoneticPr fontId="6"/>
  </si>
  <si>
    <t>5：大都市（2）（×1.5）</t>
    <phoneticPr fontId="6"/>
  </si>
  <si>
    <t>5：大都市（2）（×1.5）</t>
    <phoneticPr fontId="6"/>
  </si>
  <si>
    <t>6：市街地（×1.3）</t>
    <phoneticPr fontId="6"/>
  </si>
  <si>
    <t>6：市街地（×1.3）</t>
    <phoneticPr fontId="6"/>
  </si>
  <si>
    <t>6：市街地（×1.3）</t>
    <phoneticPr fontId="6"/>
  </si>
  <si>
    <t>6：市街地（×1.3）</t>
    <phoneticPr fontId="6"/>
  </si>
  <si>
    <t>7：補正無し</t>
    <phoneticPr fontId="6"/>
  </si>
  <si>
    <t>7：補正無し</t>
    <phoneticPr fontId="6"/>
  </si>
  <si>
    <t>2：大都市（2）（×1.2）</t>
    <rPh sb="2" eb="5">
      <t>ダイトシ</t>
    </rPh>
    <phoneticPr fontId="6"/>
  </si>
  <si>
    <t>週休2日補正有無</t>
    <rPh sb="0" eb="2">
      <t>シュウキュウ</t>
    </rPh>
    <rPh sb="3" eb="4">
      <t>ニチ</t>
    </rPh>
    <rPh sb="4" eb="6">
      <t>ホセイ</t>
    </rPh>
    <rPh sb="6" eb="8">
      <t>ウム</t>
    </rPh>
    <phoneticPr fontId="5"/>
  </si>
  <si>
    <t>設定後片付期間日数</t>
    <phoneticPr fontId="4"/>
  </si>
  <si>
    <t>1：補正有り（×1.02）※H29設定　4週8休以上</t>
    <rPh sb="2" eb="4">
      <t>ホセイ</t>
    </rPh>
    <rPh sb="4" eb="5">
      <t>ア</t>
    </rPh>
    <phoneticPr fontId="69"/>
  </si>
  <si>
    <t>2：補正有り（×1.01）※H30設定　4週6休</t>
    <rPh sb="2" eb="4">
      <t>ホセイ</t>
    </rPh>
    <rPh sb="4" eb="5">
      <t>ア</t>
    </rPh>
    <rPh sb="17" eb="19">
      <t>セッテイ</t>
    </rPh>
    <rPh sb="21" eb="22">
      <t>シュウ</t>
    </rPh>
    <rPh sb="23" eb="24">
      <t>キュウ</t>
    </rPh>
    <phoneticPr fontId="69"/>
  </si>
  <si>
    <t>3：補正有り（×1.03）※H30設定　4週7休</t>
  </si>
  <si>
    <t>3：補正有り（×1.03）※H30設定　4週7休</t>
    <phoneticPr fontId="69"/>
  </si>
  <si>
    <t>4：補正有り（×1.04）※H30設定　4週8休以上</t>
  </si>
  <si>
    <t>4：補正有り（×1.04）※H30設定　4週8休以上</t>
    <phoneticPr fontId="69"/>
  </si>
  <si>
    <t>5：補正無し</t>
    <rPh sb="2" eb="4">
      <t>ホセイ</t>
    </rPh>
    <rPh sb="4" eb="5">
      <t>ナ</t>
    </rPh>
    <phoneticPr fontId="24"/>
  </si>
  <si>
    <t>2：補正有り（×1.02）※H30設定　4週6休</t>
  </si>
  <si>
    <t>3：補正有り（×1.04）※H30設定　4週7休</t>
  </si>
  <si>
    <t>4：補正有り（×1.05）※H30設定　4週8休以上</t>
  </si>
  <si>
    <t>1：補正有り（×1.04）※H29設定　4週8休以上</t>
    <phoneticPr fontId="69"/>
  </si>
  <si>
    <t>システム初期費（ＩＣＴ）　BH（河川浚渫）</t>
    <rPh sb="4" eb="6">
      <t>ショキ</t>
    </rPh>
    <rPh sb="6" eb="7">
      <t>ヒ</t>
    </rPh>
    <rPh sb="16" eb="18">
      <t>カセン</t>
    </rPh>
    <rPh sb="18" eb="20">
      <t>シュンセツ</t>
    </rPh>
    <phoneticPr fontId="72"/>
  </si>
  <si>
    <t>費目</t>
    <rPh sb="0" eb="2">
      <t>ヒモク</t>
    </rPh>
    <phoneticPr fontId="5"/>
  </si>
  <si>
    <t>出力先DBファイル</t>
    <rPh sb="0" eb="2">
      <t>シュツリョク</t>
    </rPh>
    <rPh sb="2" eb="3">
      <t>サキ</t>
    </rPh>
    <phoneticPr fontId="5"/>
  </si>
  <si>
    <t>調査票</t>
    <rPh sb="0" eb="3">
      <t>チョウサヒョウ</t>
    </rPh>
    <phoneticPr fontId="5"/>
  </si>
  <si>
    <t>シート名</t>
    <rPh sb="3" eb="4">
      <t>メイ</t>
    </rPh>
    <phoneticPr fontId="5"/>
  </si>
  <si>
    <t>行</t>
    <rPh sb="0" eb="1">
      <t>ギョウ</t>
    </rPh>
    <phoneticPr fontId="5"/>
  </si>
  <si>
    <t>列</t>
    <rPh sb="0" eb="1">
      <t>レツ</t>
    </rPh>
    <phoneticPr fontId="5"/>
  </si>
  <si>
    <t>cell番地</t>
    <rPh sb="4" eb="6">
      <t>バンチ</t>
    </rPh>
    <phoneticPr fontId="5"/>
  </si>
  <si>
    <t>チェック</t>
    <phoneticPr fontId="5"/>
  </si>
  <si>
    <t>9_工事費</t>
    <rPh sb="2" eb="5">
      <t>コウジヒ</t>
    </rPh>
    <phoneticPr fontId="5"/>
  </si>
  <si>
    <t>チェック</t>
  </si>
  <si>
    <t>B</t>
  </si>
  <si>
    <t>①直接工事費</t>
  </si>
  <si>
    <t>C</t>
  </si>
  <si>
    <t>　(１)材料費</t>
  </si>
  <si>
    <t>D</t>
  </si>
  <si>
    <t>E</t>
  </si>
  <si>
    <t>　(３)労務費</t>
  </si>
  <si>
    <t>F</t>
  </si>
  <si>
    <t>G</t>
  </si>
  <si>
    <t>　(５)無償貸付機械等評価額</t>
  </si>
  <si>
    <t>H</t>
  </si>
  <si>
    <t>　(６)市場単価</t>
  </si>
  <si>
    <t>I</t>
  </si>
  <si>
    <t>J</t>
  </si>
  <si>
    <t>K</t>
  </si>
  <si>
    <t>　（３）現場管理費</t>
  </si>
  <si>
    <t>L</t>
  </si>
  <si>
    <t>M</t>
  </si>
  <si>
    <t>N</t>
  </si>
  <si>
    <t>O</t>
  </si>
  <si>
    <t>P</t>
  </si>
  <si>
    <t>⑤別途調査等工事価格</t>
  </si>
  <si>
    <t>Q</t>
  </si>
  <si>
    <t/>
  </si>
  <si>
    <t>R</t>
  </si>
  <si>
    <t>仮設材①</t>
  </si>
  <si>
    <t>S</t>
  </si>
  <si>
    <t>仮設材②</t>
  </si>
  <si>
    <t>T</t>
  </si>
  <si>
    <t>仮設材③</t>
  </si>
  <si>
    <t>U</t>
  </si>
  <si>
    <t>敷鉄板①</t>
  </si>
  <si>
    <t>V</t>
  </si>
  <si>
    <t>敷鉄板②</t>
  </si>
  <si>
    <t>W</t>
  </si>
  <si>
    <t>敷鉄板③</t>
  </si>
  <si>
    <t>X</t>
  </si>
  <si>
    <t>敷鉄板④</t>
  </si>
  <si>
    <t>Y</t>
  </si>
  <si>
    <t>橋梁等架設支保工</t>
  </si>
  <si>
    <t>Z</t>
  </si>
  <si>
    <t>橋梁用架設タワー等</t>
  </si>
  <si>
    <t>橋梁用仮設桁設備</t>
  </si>
  <si>
    <t>積み込み取り卸し費</t>
  </si>
  <si>
    <t>トンネル用スライドセントル</t>
  </si>
  <si>
    <t>その他②</t>
  </si>
  <si>
    <t>貨物自動車等による運搬</t>
  </si>
  <si>
    <t>自走 による運搬</t>
  </si>
  <si>
    <t>日々回送による運搬</t>
  </si>
  <si>
    <t>建設機械Ⅱ</t>
  </si>
  <si>
    <t>貨物自動車等 による運搬</t>
  </si>
  <si>
    <t>準備・測量等</t>
  </si>
  <si>
    <t>事業損失防止施設費</t>
  </si>
  <si>
    <t>安全管理費</t>
  </si>
  <si>
    <t>①工事区域内全般の安全管理</t>
  </si>
  <si>
    <t>②不稼働日の保安要員</t>
  </si>
  <si>
    <t>③安全施設類の設置、撤去、補修</t>
  </si>
  <si>
    <t>④夜間照明</t>
  </si>
  <si>
    <t>⑤酸素欠乏症の予防</t>
  </si>
  <si>
    <t>⑥河川、海岸工事における救命艇</t>
  </si>
  <si>
    <t>⑦粉塵作業の予防</t>
  </si>
  <si>
    <t>⑧長大トンネル防火安全対策</t>
  </si>
  <si>
    <t>⑨安全用品</t>
  </si>
  <si>
    <t>⑩安全委員会</t>
  </si>
  <si>
    <t>高圧作業予防</t>
  </si>
  <si>
    <t>トンネル工事における呼吸用保護具</t>
  </si>
  <si>
    <t>土地の借上費</t>
  </si>
  <si>
    <t>電力用水等基本料</t>
  </si>
  <si>
    <t>品質管理費等</t>
  </si>
  <si>
    <t>特別な品質管理</t>
  </si>
  <si>
    <t>現場条件等費用</t>
  </si>
  <si>
    <t>各種調査等</t>
  </si>
  <si>
    <t>各種台帳等</t>
  </si>
  <si>
    <t>ICT</t>
  </si>
  <si>
    <t>建物費</t>
  </si>
  <si>
    <t>借上費</t>
  </si>
  <si>
    <t>切羽変位計測</t>
    <rPh sb="0" eb="1">
      <t>キ</t>
    </rPh>
    <rPh sb="1" eb="2">
      <t>ハネ</t>
    </rPh>
    <rPh sb="2" eb="4">
      <t>ヘングライ</t>
    </rPh>
    <rPh sb="4" eb="6">
      <t>ケイソク</t>
    </rPh>
    <phoneticPr fontId="14"/>
  </si>
  <si>
    <t>⑪設備的防護対策</t>
    <rPh sb="1" eb="3">
      <t>セツビ</t>
    </rPh>
    <rPh sb="3" eb="4">
      <t>テキ</t>
    </rPh>
    <rPh sb="4" eb="6">
      <t>ボウゴ</t>
    </rPh>
    <rPh sb="6" eb="8">
      <t>タイサク</t>
    </rPh>
    <phoneticPr fontId="5"/>
  </si>
  <si>
    <t>塗料かき落とし作業における呼吸用保護具</t>
    <rPh sb="0" eb="2">
      <t>トリョウ</t>
    </rPh>
    <rPh sb="4" eb="5">
      <t>オ</t>
    </rPh>
    <rPh sb="7" eb="9">
      <t>サギョウ</t>
    </rPh>
    <rPh sb="13" eb="16">
      <t>コキュウヨウ</t>
    </rPh>
    <rPh sb="16" eb="18">
      <t>ホゴ</t>
    </rPh>
    <rPh sb="18" eb="19">
      <t>グ</t>
    </rPh>
    <phoneticPr fontId="14"/>
  </si>
  <si>
    <t>通常トイレ費用</t>
    <rPh sb="0" eb="2">
      <t>ツウジョウ</t>
    </rPh>
    <rPh sb="5" eb="7">
      <t>ヒヨウ</t>
    </rPh>
    <phoneticPr fontId="14"/>
  </si>
  <si>
    <t>3：一般道路且つ鉄道等に近接又は交差する場所</t>
    <rPh sb="2" eb="4">
      <t>イッパン</t>
    </rPh>
    <rPh sb="4" eb="6">
      <t>ドウロ</t>
    </rPh>
    <rPh sb="6" eb="7">
      <t>カ</t>
    </rPh>
    <rPh sb="8" eb="10">
      <t>テツドウ</t>
    </rPh>
    <rPh sb="10" eb="11">
      <t>ナド</t>
    </rPh>
    <rPh sb="12" eb="14">
      <t>キンセツ</t>
    </rPh>
    <rPh sb="14" eb="15">
      <t>マタ</t>
    </rPh>
    <rPh sb="16" eb="18">
      <t>コウサ</t>
    </rPh>
    <rPh sb="20" eb="22">
      <t>バショ</t>
    </rPh>
    <phoneticPr fontId="4"/>
  </si>
  <si>
    <t>4：自動車専用道路且つ鉄道等に近接又は交差する場所</t>
    <rPh sb="2" eb="5">
      <t>ジドウシャ</t>
    </rPh>
    <rPh sb="5" eb="7">
      <t>センヨウ</t>
    </rPh>
    <rPh sb="7" eb="9">
      <t>ドウロ</t>
    </rPh>
    <rPh sb="9" eb="10">
      <t>カ</t>
    </rPh>
    <rPh sb="11" eb="13">
      <t>テツドウ</t>
    </rPh>
    <rPh sb="13" eb="14">
      <t>ナド</t>
    </rPh>
    <rPh sb="15" eb="17">
      <t>キンセツ</t>
    </rPh>
    <rPh sb="17" eb="18">
      <t>マタ</t>
    </rPh>
    <rPh sb="19" eb="21">
      <t>コウサ</t>
    </rPh>
    <rPh sb="23" eb="25">
      <t>バショ</t>
    </rPh>
    <phoneticPr fontId="4"/>
  </si>
  <si>
    <t>5：上記以外の場所</t>
    <rPh sb="2" eb="4">
      <t>ジョウキ</t>
    </rPh>
    <rPh sb="4" eb="6">
      <t>イガイ</t>
    </rPh>
    <rPh sb="7" eb="9">
      <t>バショ</t>
    </rPh>
    <phoneticPr fontId="4"/>
  </si>
  <si>
    <t>（20180929修正）</t>
    <rPh sb="9" eb="11">
      <t>シュウセイ</t>
    </rPh>
    <phoneticPr fontId="5"/>
  </si>
  <si>
    <t>福島市</t>
    <rPh sb="0" eb="2">
      <t>フクシマ</t>
    </rPh>
    <phoneticPr fontId="5"/>
  </si>
  <si>
    <t>川口市</t>
    <rPh sb="0" eb="2">
      <t>カワグチ</t>
    </rPh>
    <phoneticPr fontId="5"/>
  </si>
  <si>
    <t>八尾市</t>
    <rPh sb="0" eb="2">
      <t>ヤオ</t>
    </rPh>
    <phoneticPr fontId="5"/>
  </si>
  <si>
    <t>明石市</t>
    <phoneticPr fontId="5"/>
  </si>
  <si>
    <t>鳥取県</t>
    <rPh sb="0" eb="3">
      <t>トットリケン</t>
    </rPh>
    <phoneticPr fontId="5"/>
  </si>
  <si>
    <t>鳥取市</t>
    <rPh sb="0" eb="3">
      <t>トットリシ</t>
    </rPh>
    <phoneticPr fontId="5"/>
  </si>
  <si>
    <t>島根県</t>
    <rPh sb="0" eb="2">
      <t>シマネ</t>
    </rPh>
    <rPh sb="2" eb="3">
      <t>ケン</t>
    </rPh>
    <phoneticPr fontId="5"/>
  </si>
  <si>
    <t>松江市</t>
    <rPh sb="0" eb="2">
      <t>マツエ</t>
    </rPh>
    <rPh sb="2" eb="3">
      <t>シ</t>
    </rPh>
    <phoneticPr fontId="5"/>
  </si>
  <si>
    <t>施行時特例市</t>
    <rPh sb="0" eb="2">
      <t>セコウ</t>
    </rPh>
    <rPh sb="2" eb="3">
      <t>ジ</t>
    </rPh>
    <rPh sb="3" eb="5">
      <t>トクレイ</t>
    </rPh>
    <rPh sb="5" eb="6">
      <t>シ</t>
    </rPh>
    <phoneticPr fontId="6"/>
  </si>
  <si>
    <t>補正係数（×　）</t>
    <rPh sb="0" eb="2">
      <t>ホセイ</t>
    </rPh>
    <rPh sb="2" eb="4">
      <t>ケイスウ</t>
    </rPh>
    <phoneticPr fontId="5"/>
  </si>
  <si>
    <t>ICT活用工事</t>
    <rPh sb="3" eb="5">
      <t>カツヨウ</t>
    </rPh>
    <rPh sb="5" eb="7">
      <t>コウジ</t>
    </rPh>
    <phoneticPr fontId="5"/>
  </si>
  <si>
    <t>一般土木工事</t>
    <rPh sb="4" eb="6">
      <t>コウジ</t>
    </rPh>
    <phoneticPr fontId="5"/>
  </si>
  <si>
    <t>ｱｽﾌｧﾙﾄ舗装工事</t>
    <rPh sb="8" eb="10">
      <t>コウジ</t>
    </rPh>
    <phoneticPr fontId="5"/>
  </si>
  <si>
    <t>鋼橋上部工事</t>
    <rPh sb="4" eb="6">
      <t>コウジ</t>
    </rPh>
    <phoneticPr fontId="5"/>
  </si>
  <si>
    <t>造園工事</t>
    <rPh sb="2" eb="4">
      <t>コウジ</t>
    </rPh>
    <phoneticPr fontId="5"/>
  </si>
  <si>
    <t>セメント・コンクリート舗装工事</t>
    <rPh sb="11" eb="13">
      <t>ホソウ</t>
    </rPh>
    <rPh sb="13" eb="15">
      <t>コウジ</t>
    </rPh>
    <phoneticPr fontId="5"/>
  </si>
  <si>
    <t>ＰＣ工事</t>
    <rPh sb="2" eb="4">
      <t>コウジ</t>
    </rPh>
    <phoneticPr fontId="5"/>
  </si>
  <si>
    <t>法面処理工事</t>
    <rPh sb="4" eb="6">
      <t>コウジ</t>
    </rPh>
    <phoneticPr fontId="5"/>
  </si>
  <si>
    <t>塗装工事</t>
    <rPh sb="2" eb="4">
      <t>コウジ</t>
    </rPh>
    <phoneticPr fontId="5"/>
  </si>
  <si>
    <t>維持修繕工事</t>
    <rPh sb="4" eb="6">
      <t>コウジ</t>
    </rPh>
    <phoneticPr fontId="5"/>
  </si>
  <si>
    <t>河川しゅんせつ工事</t>
    <rPh sb="0" eb="2">
      <t>カセン</t>
    </rPh>
    <rPh sb="7" eb="9">
      <t>コウジ</t>
    </rPh>
    <phoneticPr fontId="5"/>
  </si>
  <si>
    <t>グラウト工事</t>
    <rPh sb="4" eb="6">
      <t>コウジ</t>
    </rPh>
    <phoneticPr fontId="5"/>
  </si>
  <si>
    <t>杭打工事</t>
    <rPh sb="0" eb="1">
      <t>クイ</t>
    </rPh>
    <rPh sb="1" eb="2">
      <t>ウチ</t>
    </rPh>
    <rPh sb="2" eb="4">
      <t>コウジ</t>
    </rPh>
    <phoneticPr fontId="5"/>
  </si>
  <si>
    <t>さく井工事</t>
    <rPh sb="3" eb="5">
      <t>コウジ</t>
    </rPh>
    <phoneticPr fontId="5"/>
  </si>
  <si>
    <t>電気設備工事</t>
    <rPh sb="0" eb="2">
      <t>デンキ</t>
    </rPh>
    <rPh sb="2" eb="4">
      <t>セツビ</t>
    </rPh>
    <rPh sb="4" eb="6">
      <t>コウジ</t>
    </rPh>
    <phoneticPr fontId="5"/>
  </si>
  <si>
    <t>通信設備工事</t>
    <rPh sb="0" eb="2">
      <t>ツウシン</t>
    </rPh>
    <rPh sb="2" eb="4">
      <t>セツビ</t>
    </rPh>
    <rPh sb="4" eb="6">
      <t>コウジ</t>
    </rPh>
    <phoneticPr fontId="5"/>
  </si>
  <si>
    <t>受変電設備工事</t>
    <rPh sb="0" eb="1">
      <t>ジュ</t>
    </rPh>
    <rPh sb="1" eb="2">
      <t>ヘン</t>
    </rPh>
    <rPh sb="2" eb="3">
      <t>デン</t>
    </rPh>
    <rPh sb="3" eb="5">
      <t>セツビ</t>
    </rPh>
    <rPh sb="5" eb="7">
      <t>コウジ</t>
    </rPh>
    <phoneticPr fontId="5"/>
  </si>
  <si>
    <t>暖冷房衛生設備工事</t>
    <rPh sb="0" eb="1">
      <t>ダン</t>
    </rPh>
    <rPh sb="1" eb="3">
      <t>レイボウ</t>
    </rPh>
    <rPh sb="3" eb="5">
      <t>エイセイ</t>
    </rPh>
    <rPh sb="5" eb="7">
      <t>セツビ</t>
    </rPh>
    <rPh sb="7" eb="9">
      <t>コウジ</t>
    </rPh>
    <phoneticPr fontId="5"/>
  </si>
  <si>
    <t>機械設備工事</t>
    <rPh sb="0" eb="2">
      <t>キカイ</t>
    </rPh>
    <rPh sb="2" eb="4">
      <t>セツビ</t>
    </rPh>
    <rPh sb="4" eb="6">
      <t>コウジ</t>
    </rPh>
    <phoneticPr fontId="5"/>
  </si>
  <si>
    <t>建築工事</t>
    <rPh sb="0" eb="2">
      <t>ケンチク</t>
    </rPh>
    <rPh sb="2" eb="4">
      <t>コウジ</t>
    </rPh>
    <phoneticPr fontId="5"/>
  </si>
  <si>
    <t>木造建築工事</t>
    <rPh sb="0" eb="2">
      <t>モクゾウ</t>
    </rPh>
    <rPh sb="2" eb="4">
      <t>ケンチク</t>
    </rPh>
    <rPh sb="4" eb="6">
      <t>コウジ</t>
    </rPh>
    <phoneticPr fontId="5"/>
  </si>
  <si>
    <t>プレハブ建築工事</t>
    <rPh sb="4" eb="6">
      <t>ケンチク</t>
    </rPh>
    <rPh sb="6" eb="8">
      <t>コウジ</t>
    </rPh>
    <phoneticPr fontId="5"/>
  </si>
  <si>
    <t>総価契約単価合意方式【個別】</t>
    <rPh sb="0" eb="1">
      <t>ソウ</t>
    </rPh>
    <rPh sb="1" eb="2">
      <t>カ</t>
    </rPh>
    <rPh sb="2" eb="4">
      <t>ケイヤク</t>
    </rPh>
    <rPh sb="4" eb="6">
      <t>タンカ</t>
    </rPh>
    <rPh sb="6" eb="8">
      <t>ゴウイ</t>
    </rPh>
    <rPh sb="8" eb="10">
      <t>ホウシキ</t>
    </rPh>
    <rPh sb="11" eb="13">
      <t>コベツ</t>
    </rPh>
    <phoneticPr fontId="5"/>
  </si>
  <si>
    <t>総価契約単価合意方式【包括】</t>
    <rPh sb="0" eb="1">
      <t>ソウ</t>
    </rPh>
    <rPh sb="1" eb="2">
      <t>カ</t>
    </rPh>
    <rPh sb="2" eb="4">
      <t>ケイヤク</t>
    </rPh>
    <rPh sb="4" eb="6">
      <t>タンカ</t>
    </rPh>
    <rPh sb="6" eb="8">
      <t>ゴウイ</t>
    </rPh>
    <rPh sb="8" eb="10">
      <t>ホウシキ</t>
    </rPh>
    <rPh sb="11" eb="13">
      <t>ホウカツ</t>
    </rPh>
    <phoneticPr fontId="5"/>
  </si>
  <si>
    <t>積雪寒冷地域で施工時期が冬期となる場合</t>
    <rPh sb="0" eb="2">
      <t>セキセツ</t>
    </rPh>
    <rPh sb="2" eb="4">
      <t>カンレイ</t>
    </rPh>
    <rPh sb="4" eb="6">
      <t>チイキ</t>
    </rPh>
    <rPh sb="7" eb="9">
      <t>セコウ</t>
    </rPh>
    <rPh sb="9" eb="11">
      <t>ジキ</t>
    </rPh>
    <rPh sb="12" eb="14">
      <t>トウキ</t>
    </rPh>
    <rPh sb="17" eb="19">
      <t>バアイ</t>
    </rPh>
    <phoneticPr fontId="5"/>
  </si>
  <si>
    <t>2：補正無し</t>
    <rPh sb="2" eb="4">
      <t>ホセイ</t>
    </rPh>
    <rPh sb="4" eb="5">
      <t>ナ</t>
    </rPh>
    <phoneticPr fontId="5"/>
  </si>
  <si>
    <t>1：補正有り</t>
    <rPh sb="4" eb="5">
      <t>ア</t>
    </rPh>
    <phoneticPr fontId="5"/>
  </si>
  <si>
    <t>ver.</t>
    <phoneticPr fontId="5"/>
  </si>
  <si>
    <r>
      <rPr>
        <sz val="11"/>
        <rFont val="ＭＳ Ｐゴシック"/>
        <family val="3"/>
        <charset val="128"/>
      </rPr>
      <t>実施方式【総価契約単価合意方式の場合のみ記入】</t>
    </r>
    <rPh sb="0" eb="2">
      <t>ジッシ</t>
    </rPh>
    <rPh sb="2" eb="4">
      <t>ホウシキ</t>
    </rPh>
    <rPh sb="16" eb="18">
      <t>バアイ</t>
    </rPh>
    <rPh sb="20" eb="22">
      <t>キニュウ</t>
    </rPh>
    <phoneticPr fontId="5"/>
  </si>
  <si>
    <r>
      <t>支給</t>
    </r>
    <r>
      <rPr>
        <sz val="11"/>
        <rFont val="ＭＳ Ｐゴシック"/>
        <family val="3"/>
        <charset val="128"/>
      </rPr>
      <t>品費</t>
    </r>
    <rPh sb="2" eb="3">
      <t>ヒン</t>
    </rPh>
    <phoneticPr fontId="5"/>
  </si>
  <si>
    <r>
      <rPr>
        <sz val="11"/>
        <rFont val="ＭＳ Ｐゴシック"/>
        <family val="3"/>
        <charset val="128"/>
      </rPr>
      <t>土木工事標準単価及び市場単価</t>
    </r>
    <phoneticPr fontId="5"/>
  </si>
  <si>
    <t>積雪寒冷地域</t>
    <rPh sb="4" eb="6">
      <t>チイキ</t>
    </rPh>
    <phoneticPr fontId="5"/>
  </si>
  <si>
    <t>下記より規制方法を選択しﾘｽﾄで入力　　　　　　　　　　　      規制方法１：</t>
    <rPh sb="4" eb="6">
      <t>キセイ</t>
    </rPh>
    <rPh sb="6" eb="8">
      <t>ホウホウ</t>
    </rPh>
    <rPh sb="16" eb="18">
      <t>ニュウリョク</t>
    </rPh>
    <rPh sb="35" eb="37">
      <t>キセイ</t>
    </rPh>
    <rPh sb="37" eb="39">
      <t>ホウホウ</t>
    </rPh>
    <phoneticPr fontId="6"/>
  </si>
  <si>
    <t>（複数回答可）　　　　　　　　　　　　　　　　　　      　　　　　規制方法２：</t>
    <rPh sb="36" eb="38">
      <t>キセイ</t>
    </rPh>
    <rPh sb="38" eb="40">
      <t>ホウホウ</t>
    </rPh>
    <phoneticPr fontId="5"/>
  </si>
  <si>
    <t>１．全面通行止め（常時）　　２．全面通行止め（一時）　　規制方法３：</t>
    <rPh sb="2" eb="4">
      <t>ゼンメン</t>
    </rPh>
    <rPh sb="4" eb="6">
      <t>ツウコウ</t>
    </rPh>
    <rPh sb="6" eb="7">
      <t>ド</t>
    </rPh>
    <rPh sb="9" eb="11">
      <t>ジョウジ</t>
    </rPh>
    <rPh sb="16" eb="18">
      <t>ゼンメン</t>
    </rPh>
    <rPh sb="18" eb="20">
      <t>ツウコウ</t>
    </rPh>
    <rPh sb="20" eb="21">
      <t>ド</t>
    </rPh>
    <rPh sb="23" eb="25">
      <t>イチジ</t>
    </rPh>
    <rPh sb="28" eb="30">
      <t>キセイ</t>
    </rPh>
    <rPh sb="30" eb="32">
      <t>ホウホウ</t>
    </rPh>
    <phoneticPr fontId="5"/>
  </si>
  <si>
    <t>３．片側交互通行規制　　　 ４．車線規制　 　　　　　　　  規制方法４：</t>
    <rPh sb="2" eb="4">
      <t>カタガワ</t>
    </rPh>
    <rPh sb="4" eb="6">
      <t>コウゴ</t>
    </rPh>
    <rPh sb="6" eb="8">
      <t>ツウコウ</t>
    </rPh>
    <rPh sb="8" eb="10">
      <t>キセイ</t>
    </rPh>
    <rPh sb="16" eb="18">
      <t>シャセン</t>
    </rPh>
    <rPh sb="18" eb="20">
      <t>キセイ</t>
    </rPh>
    <rPh sb="31" eb="33">
      <t>キセイ</t>
    </rPh>
    <rPh sb="33" eb="35">
      <t>ホウホウ</t>
    </rPh>
    <phoneticPr fontId="5"/>
  </si>
  <si>
    <r>
      <t xml:space="preserve">５．路肩規制  </t>
    </r>
    <r>
      <rPr>
        <sz val="8"/>
        <rFont val="ＭＳ Ｐゴシック"/>
        <family val="3"/>
        <charset val="128"/>
      </rPr>
      <t xml:space="preserve">                         </t>
    </r>
    <r>
      <rPr>
        <sz val="10"/>
        <rFont val="ＭＳ Ｐゴシック"/>
        <family val="3"/>
        <charset val="128"/>
      </rPr>
      <t>６．歩道規制　　　　　　　 　　規制方法５：</t>
    </r>
    <rPh sb="2" eb="4">
      <t>ロカタ</t>
    </rPh>
    <rPh sb="4" eb="6">
      <t>キセイ</t>
    </rPh>
    <rPh sb="49" eb="51">
      <t>キセイ</t>
    </rPh>
    <rPh sb="51" eb="53">
      <t>ホウホウ</t>
    </rPh>
    <phoneticPr fontId="5"/>
  </si>
  <si>
    <t>規制方法６：</t>
    <rPh sb="0" eb="4">
      <t>キセイホウホウ</t>
    </rPh>
    <phoneticPr fontId="5"/>
  </si>
  <si>
    <t>「補正有り」とした理由を入力</t>
    <rPh sb="1" eb="3">
      <t>ホセイ</t>
    </rPh>
    <rPh sb="3" eb="4">
      <t>ア</t>
    </rPh>
    <phoneticPr fontId="6"/>
  </si>
  <si>
    <t>　(２)支給品費</t>
    <rPh sb="4" eb="6">
      <t>シキュウ</t>
    </rPh>
    <rPh sb="7" eb="8">
      <t>ヒ</t>
    </rPh>
    <phoneticPr fontId="5"/>
  </si>
  <si>
    <t>　(６)土木工事標準単価及び市場単価</t>
    <phoneticPr fontId="5"/>
  </si>
  <si>
    <t>支給品費</t>
    <rPh sb="0" eb="2">
      <t>シキュウ</t>
    </rPh>
    <rPh sb="2" eb="3">
      <t>シナ</t>
    </rPh>
    <rPh sb="3" eb="4">
      <t>ヒ</t>
    </rPh>
    <phoneticPr fontId="5"/>
  </si>
  <si>
    <r>
      <t>発注ファイルの支給品費が</t>
    </r>
    <r>
      <rPr>
        <b/>
        <sz val="10"/>
        <rFont val="ＭＳ Ｐゴシック"/>
        <family val="3"/>
        <charset val="128"/>
      </rPr>
      <t>未入力</t>
    </r>
    <rPh sb="9" eb="10">
      <t>シナ</t>
    </rPh>
    <phoneticPr fontId="5"/>
  </si>
  <si>
    <t>1.支給品費を入力して下さい
2.費用が発生しない場合は０を入力して下さい</t>
    <rPh sb="4" eb="5">
      <t>シナ</t>
    </rPh>
    <rPh sb="20" eb="22">
      <t>ハッセイ</t>
    </rPh>
    <phoneticPr fontId="5"/>
  </si>
  <si>
    <r>
      <t xml:space="preserve">受発注で労務費の金額差が大きい
</t>
    </r>
    <r>
      <rPr>
        <b/>
        <sz val="11"/>
        <rFont val="ＭＳ Ｐゴシック"/>
        <family val="3"/>
        <charset val="128"/>
      </rPr>
      <t>（元請ファイル実績額の過大）</t>
    </r>
    <rPh sb="0" eb="3">
      <t>ジュハッチュウ</t>
    </rPh>
    <rPh sb="4" eb="7">
      <t>ロウムヒ</t>
    </rPh>
    <rPh sb="8" eb="10">
      <t>キンガク</t>
    </rPh>
    <rPh sb="10" eb="11">
      <t>サ</t>
    </rPh>
    <rPh sb="12" eb="13">
      <t>オオ</t>
    </rPh>
    <rPh sb="17" eb="19">
      <t>モトウケ</t>
    </rPh>
    <rPh sb="23" eb="25">
      <t>ジッセキ</t>
    </rPh>
    <rPh sb="25" eb="26">
      <t>ガク</t>
    </rPh>
    <rPh sb="27" eb="29">
      <t>カダイ</t>
    </rPh>
    <phoneticPr fontId="5"/>
  </si>
  <si>
    <r>
      <t xml:space="preserve">受発注で労務費の金額差が大きい
</t>
    </r>
    <r>
      <rPr>
        <b/>
        <sz val="11"/>
        <rFont val="ＭＳ Ｐゴシック"/>
        <family val="3"/>
        <charset val="128"/>
      </rPr>
      <t>（元請ファイル実績額の過小）</t>
    </r>
    <rPh sb="0" eb="3">
      <t>ジュハッチュウ</t>
    </rPh>
    <rPh sb="4" eb="7">
      <t>ロウムヒ</t>
    </rPh>
    <rPh sb="8" eb="10">
      <t>キンガク</t>
    </rPh>
    <rPh sb="10" eb="11">
      <t>サ</t>
    </rPh>
    <rPh sb="12" eb="13">
      <t>オオ</t>
    </rPh>
    <rPh sb="17" eb="19">
      <t>モトウケ</t>
    </rPh>
    <rPh sb="23" eb="25">
      <t>ジッセキ</t>
    </rPh>
    <rPh sb="25" eb="26">
      <t>ガク</t>
    </rPh>
    <rPh sb="27" eb="29">
      <t>カショウ</t>
    </rPh>
    <phoneticPr fontId="5"/>
  </si>
  <si>
    <r>
      <t xml:space="preserve">受発注で機械器具等損料の金額差が大きい
</t>
    </r>
    <r>
      <rPr>
        <b/>
        <sz val="11"/>
        <rFont val="ＭＳ Ｐゴシック"/>
        <family val="3"/>
        <charset val="128"/>
      </rPr>
      <t>（元請ファイル実績額の過大）</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カダイ</t>
    </rPh>
    <phoneticPr fontId="5"/>
  </si>
  <si>
    <r>
      <t xml:space="preserve">受発注で機械器具等損料の金額差が大きい
</t>
    </r>
    <r>
      <rPr>
        <b/>
        <sz val="11"/>
        <rFont val="ＭＳ Ｐゴシック"/>
        <family val="3"/>
        <charset val="128"/>
      </rPr>
      <t>（元請ファイル実績額の過小）</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カショウ</t>
    </rPh>
    <phoneticPr fontId="5"/>
  </si>
  <si>
    <t>土木工事標準単価及び市場単価</t>
    <rPh sb="10" eb="12">
      <t>イチバ</t>
    </rPh>
    <rPh sb="12" eb="14">
      <t>タンカ</t>
    </rPh>
    <phoneticPr fontId="5"/>
  </si>
  <si>
    <r>
      <t>発注ファイルの土木工事標準単価及び市場単価が</t>
    </r>
    <r>
      <rPr>
        <b/>
        <sz val="10"/>
        <rFont val="ＭＳ Ｐゴシック"/>
        <family val="3"/>
        <charset val="128"/>
      </rPr>
      <t>未入力</t>
    </r>
    <rPh sb="17" eb="19">
      <t>シジョウ</t>
    </rPh>
    <rPh sb="19" eb="21">
      <t>タンカ</t>
    </rPh>
    <phoneticPr fontId="5"/>
  </si>
  <si>
    <t>1.土木工事標準単価及び市場単価を入力して下さい
2.費用が発生しない場合は０を入力して下さい</t>
    <rPh sb="12" eb="14">
      <t>シジョウ</t>
    </rPh>
    <rPh sb="14" eb="16">
      <t>タンカ</t>
    </rPh>
    <rPh sb="30" eb="32">
      <t>ハッセイ</t>
    </rPh>
    <phoneticPr fontId="5"/>
  </si>
  <si>
    <t>072010</t>
  </si>
  <si>
    <t>112038</t>
  </si>
  <si>
    <t>272124</t>
  </si>
  <si>
    <t>282031</t>
  </si>
  <si>
    <t>312011</t>
  </si>
  <si>
    <t>322016</t>
  </si>
  <si>
    <t>ICT活用工事</t>
    <rPh sb="3" eb="7">
      <t>カツヨウコウジ</t>
    </rPh>
    <phoneticPr fontId="5"/>
  </si>
  <si>
    <t>○：ICT活用工事</t>
    <rPh sb="5" eb="7">
      <t>カツヨウ</t>
    </rPh>
    <rPh sb="7" eb="9">
      <t>コウジ</t>
    </rPh>
    <phoneticPr fontId="5"/>
  </si>
  <si>
    <t>ICT活用工事以外</t>
    <rPh sb="3" eb="7">
      <t>カツヨウコウジ</t>
    </rPh>
    <rPh sb="7" eb="9">
      <t>イガイ</t>
    </rPh>
    <phoneticPr fontId="5"/>
  </si>
  <si>
    <t>復興係数による補正（広島県）</t>
    <rPh sb="0" eb="2">
      <t>フッコウ</t>
    </rPh>
    <rPh sb="2" eb="4">
      <t>ケイスウ</t>
    </rPh>
    <rPh sb="7" eb="9">
      <t>ホセイ</t>
    </rPh>
    <rPh sb="10" eb="12">
      <t>ヒロシマ</t>
    </rPh>
    <rPh sb="12" eb="13">
      <t>ケン</t>
    </rPh>
    <phoneticPr fontId="24"/>
  </si>
  <si>
    <t>*整理番号を入力して下さい。</t>
    <rPh sb="6" eb="8">
      <t>ニュウリョク</t>
    </rPh>
    <rPh sb="10" eb="11">
      <t>クダ</t>
    </rPh>
    <phoneticPr fontId="5"/>
  </si>
  <si>
    <t>広島復興補正</t>
    <rPh sb="0" eb="2">
      <t>ヒロシマ</t>
    </rPh>
    <rPh sb="2" eb="4">
      <t>フッコウ</t>
    </rPh>
    <rPh sb="4" eb="6">
      <t>ホセイ</t>
    </rPh>
    <phoneticPr fontId="5"/>
  </si>
  <si>
    <t>熱中症対策に資する現場管理費の補正の試行による補正</t>
    <rPh sb="0" eb="2">
      <t>ネッチュウ</t>
    </rPh>
    <rPh sb="2" eb="3">
      <t>ショウ</t>
    </rPh>
    <rPh sb="3" eb="5">
      <t>タイサク</t>
    </rPh>
    <rPh sb="6" eb="7">
      <t>シ</t>
    </rPh>
    <rPh sb="9" eb="11">
      <t>ゲンバ</t>
    </rPh>
    <rPh sb="11" eb="14">
      <t>カンリヒ</t>
    </rPh>
    <rPh sb="15" eb="17">
      <t>ホセイ</t>
    </rPh>
    <rPh sb="18" eb="20">
      <t>シコウ</t>
    </rPh>
    <rPh sb="23" eb="25">
      <t>ホセイ</t>
    </rPh>
    <phoneticPr fontId="4"/>
  </si>
  <si>
    <t>交通量調査基本区間番号（センサス番号）11桁</t>
    <rPh sb="0" eb="2">
      <t>コウツウ</t>
    </rPh>
    <rPh sb="2" eb="3">
      <t>リョウ</t>
    </rPh>
    <rPh sb="3" eb="5">
      <t>チョウサ</t>
    </rPh>
    <rPh sb="5" eb="7">
      <t>キホン</t>
    </rPh>
    <rPh sb="7" eb="9">
      <t>クカン</t>
    </rPh>
    <rPh sb="9" eb="11">
      <t>バンゴウ</t>
    </rPh>
    <rPh sb="16" eb="18">
      <t>バンゴウ</t>
    </rPh>
    <rPh sb="21" eb="22">
      <t>ケタ</t>
    </rPh>
    <phoneticPr fontId="5"/>
  </si>
  <si>
    <t>積算に用いた熱中対策補正率</t>
    <rPh sb="0" eb="2">
      <t>セキサン</t>
    </rPh>
    <rPh sb="3" eb="4">
      <t>モチ</t>
    </rPh>
    <rPh sb="6" eb="8">
      <t>ネッチュウ</t>
    </rPh>
    <rPh sb="8" eb="10">
      <t>タイサク</t>
    </rPh>
    <rPh sb="10" eb="12">
      <t>ホセイ</t>
    </rPh>
    <rPh sb="12" eb="13">
      <t>リツ</t>
    </rPh>
    <phoneticPr fontId="5"/>
  </si>
  <si>
    <t>熱中症対策に資する現場管理費の補正の試行による補正割増しを行った。</t>
    <rPh sb="0" eb="2">
      <t>ネッチュウ</t>
    </rPh>
    <rPh sb="2" eb="3">
      <t>ショウ</t>
    </rPh>
    <rPh sb="3" eb="5">
      <t>タイサク</t>
    </rPh>
    <rPh sb="6" eb="7">
      <t>シ</t>
    </rPh>
    <rPh sb="9" eb="11">
      <t>ゲンバ</t>
    </rPh>
    <rPh sb="11" eb="14">
      <t>カンリヒ</t>
    </rPh>
    <rPh sb="15" eb="17">
      <t>ホセイ</t>
    </rPh>
    <rPh sb="18" eb="20">
      <t>シコウ</t>
    </rPh>
    <rPh sb="23" eb="25">
      <t>ホセイ</t>
    </rPh>
    <rPh sb="25" eb="26">
      <t>ワ</t>
    </rPh>
    <rPh sb="26" eb="27">
      <t>マ</t>
    </rPh>
    <rPh sb="29" eb="30">
      <t>オコナ</t>
    </rPh>
    <phoneticPr fontId="5"/>
  </si>
  <si>
    <t>ICT舗装工</t>
    <rPh sb="3" eb="5">
      <t>ホソウ</t>
    </rPh>
    <rPh sb="5" eb="6">
      <t>コウ</t>
    </rPh>
    <phoneticPr fontId="5"/>
  </si>
  <si>
    <t>ICT付帯構造物設置工</t>
    <phoneticPr fontId="5"/>
  </si>
  <si>
    <t>イ</t>
  </si>
  <si>
    <t>機械機具等損料</t>
  </si>
  <si>
    <t>特許使用料</t>
  </si>
  <si>
    <t>光熱電力使用料</t>
  </si>
  <si>
    <t>Ａ</t>
  </si>
  <si>
    <t>Ｂ</t>
  </si>
  <si>
    <t>ハ</t>
  </si>
  <si>
    <t>不稼働日の保安要員等の費用</t>
  </si>
  <si>
    <t>1)</t>
  </si>
  <si>
    <t>2)</t>
  </si>
  <si>
    <t>Ｄ</t>
  </si>
  <si>
    <t>Ｅ</t>
  </si>
  <si>
    <t>Ｃ</t>
  </si>
  <si>
    <t>宿泊費</t>
  </si>
  <si>
    <t>監督員詰所等</t>
  </si>
  <si>
    <t>労務管理費</t>
  </si>
  <si>
    <t>安全訓練等費用</t>
  </si>
  <si>
    <t>安全・衛生に要した費用</t>
  </si>
  <si>
    <t>研修訓練等に要した費用</t>
  </si>
  <si>
    <t>租税公課</t>
  </si>
  <si>
    <t>退職金</t>
  </si>
  <si>
    <t>保険料</t>
  </si>
  <si>
    <t>火災保険</t>
  </si>
  <si>
    <t>工事保険</t>
  </si>
  <si>
    <t>組立保険</t>
  </si>
  <si>
    <t>Ｆ</t>
  </si>
  <si>
    <t>労災保険料</t>
  </si>
  <si>
    <t>雇用保険料</t>
  </si>
  <si>
    <t>建退共制度掛金</t>
  </si>
  <si>
    <t>船員保険料</t>
  </si>
  <si>
    <t>福利厚生費</t>
  </si>
  <si>
    <t>リ</t>
  </si>
  <si>
    <t>ヌ</t>
  </si>
  <si>
    <t>通信交通費</t>
  </si>
  <si>
    <t>ル</t>
  </si>
  <si>
    <t>交際費</t>
  </si>
  <si>
    <t>ヲ</t>
  </si>
  <si>
    <t>ワ</t>
  </si>
  <si>
    <t>カ</t>
  </si>
  <si>
    <t>ヨ</t>
  </si>
  <si>
    <t>③</t>
  </si>
  <si>
    <t>工事請負金額</t>
  </si>
  <si>
    <r>
      <t>・本シートは,受発注の入力金額を確認するシートです。
・入力修正が必要な場合は、工事費シート（発注ファイル）又は、元請ファイルを修正してください。
・元請ファイルを修正した場合、</t>
    </r>
    <r>
      <rPr>
        <b/>
        <sz val="11"/>
        <rFont val="ＭＳ Ｐゴシック"/>
        <family val="3"/>
        <charset val="128"/>
      </rPr>
      <t>再度、『元請調査票データ』に元請の修正後調査データを貼り付けて下さい。</t>
    </r>
    <rPh sb="75" eb="77">
      <t>モトウケ</t>
    </rPh>
    <rPh sb="82" eb="84">
      <t>シュウセイ</t>
    </rPh>
    <rPh sb="86" eb="88">
      <t>バアイ</t>
    </rPh>
    <rPh sb="89" eb="91">
      <t>サイド</t>
    </rPh>
    <rPh sb="106" eb="108">
      <t>シュウセイ</t>
    </rPh>
    <rPh sb="108" eb="109">
      <t>ゴ</t>
    </rPh>
    <phoneticPr fontId="5"/>
  </si>
  <si>
    <t>「補正有り」の場合：工期期間中の真夏日</t>
    <rPh sb="10" eb="12">
      <t>コウキ</t>
    </rPh>
    <rPh sb="12" eb="15">
      <t>キカンチュウ</t>
    </rPh>
    <rPh sb="16" eb="19">
      <t>マナツビ</t>
    </rPh>
    <phoneticPr fontId="6"/>
  </si>
  <si>
    <t>「補正有り」の場合：工期期間日数</t>
    <rPh sb="10" eb="12">
      <t>コウキ</t>
    </rPh>
    <rPh sb="12" eb="14">
      <t>キカン</t>
    </rPh>
    <rPh sb="14" eb="16">
      <t>ニッスウ</t>
    </rPh>
    <phoneticPr fontId="6"/>
  </si>
  <si>
    <t>整　理　番　号</t>
    <rPh sb="0" eb="1">
      <t>ヒトシ</t>
    </rPh>
    <rPh sb="2" eb="3">
      <t>リ</t>
    </rPh>
    <rPh sb="4" eb="5">
      <t>バン</t>
    </rPh>
    <rPh sb="6" eb="7">
      <t>ゴウ</t>
    </rPh>
    <phoneticPr fontId="4"/>
  </si>
  <si>
    <t>2018年度基準書</t>
    <rPh sb="4" eb="6">
      <t>ネンド</t>
    </rPh>
    <rPh sb="6" eb="8">
      <t>キジュン</t>
    </rPh>
    <rPh sb="8" eb="9">
      <t>ショ</t>
    </rPh>
    <phoneticPr fontId="24"/>
  </si>
  <si>
    <t>2019年度基準書</t>
    <rPh sb="4" eb="6">
      <t>ネンド</t>
    </rPh>
    <rPh sb="6" eb="8">
      <t>キジュン</t>
    </rPh>
    <rPh sb="8" eb="9">
      <t>ショ</t>
    </rPh>
    <phoneticPr fontId="24"/>
  </si>
  <si>
    <t>2017年度基準書</t>
    <rPh sb="4" eb="6">
      <t>ネンド</t>
    </rPh>
    <rPh sb="6" eb="8">
      <t>キジュン</t>
    </rPh>
    <rPh sb="8" eb="9">
      <t>ショ</t>
    </rPh>
    <phoneticPr fontId="24"/>
  </si>
  <si>
    <t>2016年度基準書以前</t>
    <rPh sb="4" eb="6">
      <t>ネンド</t>
    </rPh>
    <rPh sb="6" eb="8">
      <t>キジュン</t>
    </rPh>
    <rPh sb="8" eb="9">
      <t>ショ</t>
    </rPh>
    <rPh sb="9" eb="11">
      <t>イゼン</t>
    </rPh>
    <phoneticPr fontId="6"/>
  </si>
  <si>
    <t>　② シート：『元請調査票データ』に元請の調査データを入力して下さい。</t>
    <rPh sb="8" eb="10">
      <t>モトウケ</t>
    </rPh>
    <rPh sb="10" eb="13">
      <t>チョウサヒョウ</t>
    </rPh>
    <rPh sb="18" eb="20">
      <t>モトウケ</t>
    </rPh>
    <rPh sb="21" eb="23">
      <t>チョウサ</t>
    </rPh>
    <rPh sb="27" eb="29">
      <t>ニュウリョク</t>
    </rPh>
    <rPh sb="31" eb="32">
      <t>クダ</t>
    </rPh>
    <phoneticPr fontId="5"/>
  </si>
  <si>
    <t>機器間接費</t>
  </si>
  <si>
    <t>積上</t>
    <rPh sb="0" eb="2">
      <t>ツミジョウ</t>
    </rPh>
    <phoneticPr fontId="5"/>
  </si>
  <si>
    <t>-</t>
  </si>
  <si>
    <t>元請調査票データ</t>
    <rPh sb="0" eb="2">
      <t>モトウケ</t>
    </rPh>
    <rPh sb="2" eb="5">
      <t>チョウサヒョウ</t>
    </rPh>
    <phoneticPr fontId="5"/>
  </si>
  <si>
    <t>直接工事費</t>
  </si>
  <si>
    <t>(１)</t>
  </si>
  <si>
    <t>(３)</t>
  </si>
  <si>
    <t>(４)</t>
  </si>
  <si>
    <t>直接経費</t>
  </si>
  <si>
    <t>(６)</t>
  </si>
  <si>
    <t>特殊経費</t>
  </si>
  <si>
    <t>共通仮設費</t>
  </si>
  <si>
    <t>3)</t>
  </si>
  <si>
    <t>4)</t>
  </si>
  <si>
    <t>夜間工事その他、照明が必要な作業を行う場合における照明に要した費用</t>
  </si>
  <si>
    <t>5)</t>
  </si>
  <si>
    <t>酸素欠乏症の予防に要した費用</t>
  </si>
  <si>
    <t>6)</t>
  </si>
  <si>
    <t>河川、海岸工事における救命艇に要した費用</t>
  </si>
  <si>
    <t>7)</t>
  </si>
  <si>
    <t>粉塵作業の予防に要した費用</t>
  </si>
  <si>
    <t>8)</t>
  </si>
  <si>
    <t>長大トンネル等における防火安全対策に要した費用（工事用連絡設備費含む）</t>
  </si>
  <si>
    <t>9)</t>
  </si>
  <si>
    <t>10)</t>
  </si>
  <si>
    <t>安全委員会等に要した費用</t>
  </si>
  <si>
    <t>11)</t>
  </si>
  <si>
    <t>「山岳トンネル工事の切羽における肌落ち災害防止対策に係るガイドライン」における設備的防護対策に要した費用</t>
  </si>
  <si>
    <t>塗料かき落とし作業における呼吸用保護具</t>
  </si>
  <si>
    <t>現場管理費</t>
  </si>
  <si>
    <t>社員等従業員給料手当</t>
  </si>
  <si>
    <t>自動車保険</t>
  </si>
  <si>
    <t>その他損害保険</t>
  </si>
  <si>
    <t>法定福利費</t>
  </si>
  <si>
    <t>健康保険料(介護保険料含む)</t>
  </si>
  <si>
    <t>厚生年金保険料(児童手当拠出金含む)</t>
  </si>
  <si>
    <t>動力・用水光熱費</t>
  </si>
  <si>
    <t>タ</t>
  </si>
  <si>
    <t>外注費</t>
  </si>
  <si>
    <t>④</t>
  </si>
  <si>
    <t>別途調査等工事価格</t>
  </si>
  <si>
    <t>消費税相当額</t>
  </si>
  <si>
    <t>整理番号</t>
    <rPh sb="0" eb="2">
      <t>セイリ</t>
    </rPh>
    <rPh sb="2" eb="4">
      <t>バンゴウ</t>
    </rPh>
    <phoneticPr fontId="3"/>
  </si>
  <si>
    <t>工事名</t>
    <rPh sb="0" eb="3">
      <t>コウジメイ</t>
    </rPh>
    <phoneticPr fontId="3"/>
  </si>
  <si>
    <t>費　　目</t>
    <rPh sb="0" eb="1">
      <t>ヒ</t>
    </rPh>
    <rPh sb="3" eb="4">
      <t>メ</t>
    </rPh>
    <phoneticPr fontId="3"/>
  </si>
  <si>
    <t>元請実績額</t>
    <rPh sb="0" eb="2">
      <t>モトウケ</t>
    </rPh>
    <phoneticPr fontId="3"/>
  </si>
  <si>
    <t>入力金額</t>
    <rPh sb="0" eb="2">
      <t>ニュウリョク</t>
    </rPh>
    <rPh sb="2" eb="4">
      <t>キンガク</t>
    </rPh>
    <phoneticPr fontId="3"/>
  </si>
  <si>
    <t>工事請負金額（消費税込）</t>
    <rPh sb="0" eb="2">
      <t>コウジ</t>
    </rPh>
    <rPh sb="2" eb="4">
      <t>ウケオイ</t>
    </rPh>
    <rPh sb="4" eb="6">
      <t>キンガク</t>
    </rPh>
    <phoneticPr fontId="3"/>
  </si>
  <si>
    <t>消費税相当額</t>
    <rPh sb="0" eb="3">
      <t>ショウヒゼイ</t>
    </rPh>
    <rPh sb="3" eb="5">
      <t>ソウトウ</t>
    </rPh>
    <rPh sb="5" eb="6">
      <t>ガク</t>
    </rPh>
    <phoneticPr fontId="3"/>
  </si>
  <si>
    <t>労務費等</t>
    <rPh sb="3" eb="4">
      <t>トウ</t>
    </rPh>
    <phoneticPr fontId="3"/>
  </si>
  <si>
    <t>労務費</t>
    <rPh sb="0" eb="3">
      <t>ロウムヒ</t>
    </rPh>
    <phoneticPr fontId="3"/>
  </si>
  <si>
    <t>交通誘導警備員A</t>
    <rPh sb="0" eb="2">
      <t>コウツウ</t>
    </rPh>
    <rPh sb="2" eb="4">
      <t>ユウドウ</t>
    </rPh>
    <rPh sb="4" eb="7">
      <t>ケイビイン</t>
    </rPh>
    <phoneticPr fontId="3"/>
  </si>
  <si>
    <t>交通誘導警備員B</t>
    <rPh sb="0" eb="2">
      <t>コウツウ</t>
    </rPh>
    <rPh sb="2" eb="4">
      <t>ユウドウ</t>
    </rPh>
    <rPh sb="4" eb="7">
      <t>ケイビイン</t>
    </rPh>
    <phoneticPr fontId="3"/>
  </si>
  <si>
    <t>貸与機械等現場修理・管理費(官貸与)</t>
    <rPh sb="14" eb="15">
      <t>カン</t>
    </rPh>
    <rPh sb="15" eb="17">
      <t>タイヨ</t>
    </rPh>
    <phoneticPr fontId="3"/>
  </si>
  <si>
    <t>処分費</t>
    <rPh sb="0" eb="3">
      <t>ショブンヒ</t>
    </rPh>
    <phoneticPr fontId="3"/>
  </si>
  <si>
    <t>上・下水道料金</t>
    <rPh sb="0" eb="1">
      <t>ジョウ</t>
    </rPh>
    <rPh sb="2" eb="5">
      <t>ゲスイドウ</t>
    </rPh>
    <rPh sb="5" eb="7">
      <t>リョウキン</t>
    </rPh>
    <phoneticPr fontId="3"/>
  </si>
  <si>
    <t>有料道路利用料</t>
    <rPh sb="0" eb="2">
      <t>ユウリョウ</t>
    </rPh>
    <rPh sb="2" eb="4">
      <t>ドウロ</t>
    </rPh>
    <rPh sb="4" eb="7">
      <t>リヨウリョウ</t>
    </rPh>
    <phoneticPr fontId="3"/>
  </si>
  <si>
    <t>機器材</t>
    <rPh sb="0" eb="1">
      <t>キキ</t>
    </rPh>
    <rPh sb="2" eb="3">
      <t>ザイ</t>
    </rPh>
    <phoneticPr fontId="3"/>
  </si>
  <si>
    <t>その他①</t>
    <rPh sb="2" eb="3">
      <t>タ</t>
    </rPh>
    <phoneticPr fontId="3"/>
  </si>
  <si>
    <t>建設機械Ⅰ</t>
    <rPh sb="0" eb="2">
      <t>ケンセツ</t>
    </rPh>
    <rPh sb="2" eb="4">
      <t>キカイ</t>
    </rPh>
    <phoneticPr fontId="3"/>
  </si>
  <si>
    <t>現場内小運搬</t>
    <rPh sb="0" eb="2">
      <t>ゲンバ</t>
    </rPh>
    <rPh sb="2" eb="3">
      <t>ナイ</t>
    </rPh>
    <rPh sb="3" eb="4">
      <t>ショウ</t>
    </rPh>
    <rPh sb="4" eb="6">
      <t>ウンパン</t>
    </rPh>
    <phoneticPr fontId="3"/>
  </si>
  <si>
    <t>現場内小運搬（内分解組立費）</t>
    <rPh sb="7" eb="8">
      <t>ウチ</t>
    </rPh>
    <rPh sb="8" eb="10">
      <t>ブンカイ</t>
    </rPh>
    <rPh sb="10" eb="11">
      <t>ク</t>
    </rPh>
    <rPh sb="11" eb="12">
      <t>タ</t>
    </rPh>
    <rPh sb="12" eb="13">
      <t>ヒ</t>
    </rPh>
    <phoneticPr fontId="3"/>
  </si>
  <si>
    <t>その他</t>
    <rPh sb="0" eb="3">
      <t>ソノタ</t>
    </rPh>
    <phoneticPr fontId="3"/>
  </si>
  <si>
    <t>安全留意度
「建設工事公衆災害防止対策要綱」について選択</t>
    <rPh sb="26" eb="28">
      <t>センタク</t>
    </rPh>
    <phoneticPr fontId="3"/>
  </si>
  <si>
    <t>工事区域内全般の安全管理上の監視、あるいは連絡等に要した費用</t>
    <rPh sb="2" eb="3">
      <t>ク</t>
    </rPh>
    <phoneticPr fontId="3"/>
  </si>
  <si>
    <t>標示板、標識、保安燈、防護柵、バリケード、架空線等事故防止対策簡易ゲート、照明等の安全施設類の設置、撤去、補修に要した費用及び使用期間中の損料</t>
    <rPh sb="0" eb="1">
      <t>ヒョウ</t>
    </rPh>
    <rPh sb="9" eb="10">
      <t>トウロウ</t>
    </rPh>
    <rPh sb="21" eb="23">
      <t>カクウ</t>
    </rPh>
    <rPh sb="23" eb="24">
      <t>セン</t>
    </rPh>
    <rPh sb="24" eb="25">
      <t>トウ</t>
    </rPh>
    <rPh sb="25" eb="27">
      <t>ジコ</t>
    </rPh>
    <rPh sb="27" eb="29">
      <t>ボウシ</t>
    </rPh>
    <rPh sb="29" eb="31">
      <t>タイサク</t>
    </rPh>
    <rPh sb="31" eb="33">
      <t>カンイ</t>
    </rPh>
    <rPh sb="37" eb="39">
      <t>ショウメイ</t>
    </rPh>
    <rPh sb="39" eb="40">
      <t>トウ</t>
    </rPh>
    <phoneticPr fontId="3"/>
  </si>
  <si>
    <t>交通誘導警備員等</t>
    <rPh sb="0" eb="2">
      <t>コウツウ</t>
    </rPh>
    <rPh sb="2" eb="4">
      <t>ユウドウ</t>
    </rPh>
    <rPh sb="4" eb="7">
      <t>ケイビイン</t>
    </rPh>
    <rPh sb="7" eb="8">
      <t>トウ</t>
    </rPh>
    <phoneticPr fontId="3"/>
  </si>
  <si>
    <t>交通誘導警備員Ａ</t>
    <rPh sb="0" eb="2">
      <t>コウツウ</t>
    </rPh>
    <rPh sb="2" eb="4">
      <t>ユウドウ</t>
    </rPh>
    <rPh sb="4" eb="7">
      <t>ケイビイン</t>
    </rPh>
    <phoneticPr fontId="3"/>
  </si>
  <si>
    <t>交通誘導警備員Ｂ</t>
    <rPh sb="0" eb="2">
      <t>コウツウ</t>
    </rPh>
    <rPh sb="2" eb="4">
      <t>ユウドウ</t>
    </rPh>
    <rPh sb="4" eb="7">
      <t>ケイビイン</t>
    </rPh>
    <phoneticPr fontId="3"/>
  </si>
  <si>
    <t>鉄道空港安全管理</t>
    <rPh sb="2" eb="4">
      <t>クウコウ</t>
    </rPh>
    <phoneticPr fontId="3"/>
  </si>
  <si>
    <t>航路安全標識・警戒船</t>
    <rPh sb="0" eb="2">
      <t>コウロ</t>
    </rPh>
    <rPh sb="2" eb="4">
      <t>アンゼン</t>
    </rPh>
    <rPh sb="4" eb="6">
      <t>ヒョウシキ</t>
    </rPh>
    <rPh sb="7" eb="9">
      <t>ケイカイセン</t>
    </rPh>
    <rPh sb="9" eb="10">
      <t>フネ</t>
    </rPh>
    <phoneticPr fontId="3"/>
  </si>
  <si>
    <t>ダム発破・監視費</t>
    <rPh sb="2" eb="4">
      <t>ハッパ</t>
    </rPh>
    <rPh sb="5" eb="7">
      <t>カンシ</t>
    </rPh>
    <rPh sb="7" eb="8">
      <t>ヒ</t>
    </rPh>
    <phoneticPr fontId="3"/>
  </si>
  <si>
    <t>特殊な品質管理</t>
    <rPh sb="0" eb="2">
      <t>トクシュ</t>
    </rPh>
    <phoneticPr fontId="3"/>
  </si>
  <si>
    <t>ICT建設機械</t>
    <rPh sb="3" eb="5">
      <t>ケンセツ</t>
    </rPh>
    <rPh sb="5" eb="7">
      <t>キカイ</t>
    </rPh>
    <phoneticPr fontId="3"/>
  </si>
  <si>
    <t>労働者宿舎の設置・撤去、維持修繕（運搬費、電灯、水道、ガスの諸施設含む）に要した費用</t>
    <rPh sb="0" eb="3">
      <t>ロウドウシャ</t>
    </rPh>
    <rPh sb="3" eb="5">
      <t>シュクシャ</t>
    </rPh>
    <rPh sb="6" eb="8">
      <t>セッチ</t>
    </rPh>
    <phoneticPr fontId="3"/>
  </si>
  <si>
    <t>現場事務所、試験室、倉庫、材料保管場所等の設置・撤去、維持修繕（運搬費、電灯、水道、ガスの諸施設含む）に要した費用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セッチ</t>
    </rPh>
    <phoneticPr fontId="3"/>
  </si>
  <si>
    <t>労務者宿舎の敷地の借上げに要した地代及び建物を建築する代わりに貸ビル、マンション、民家等を長期借上げに要した費用</t>
    <rPh sb="0" eb="2">
      <t>ロウム</t>
    </rPh>
    <rPh sb="2" eb="3">
      <t>シャ</t>
    </rPh>
    <rPh sb="3" eb="5">
      <t>シュクシャ</t>
    </rPh>
    <rPh sb="6" eb="8">
      <t>シキチ</t>
    </rPh>
    <rPh sb="9" eb="11">
      <t>カリア</t>
    </rPh>
    <rPh sb="13" eb="14">
      <t>ヨウ</t>
    </rPh>
    <rPh sb="16" eb="18">
      <t>チダイ</t>
    </rPh>
    <rPh sb="18" eb="19">
      <t>オヨ</t>
    </rPh>
    <rPh sb="20" eb="22">
      <t>タテモノ</t>
    </rPh>
    <rPh sb="23" eb="25">
      <t>ケンチク</t>
    </rPh>
    <rPh sb="27" eb="28">
      <t>カ</t>
    </rPh>
    <rPh sb="31" eb="32">
      <t>カシ</t>
    </rPh>
    <rPh sb="41" eb="44">
      <t>ミンカナド</t>
    </rPh>
    <rPh sb="45" eb="47">
      <t>チョウキ</t>
    </rPh>
    <rPh sb="47" eb="49">
      <t>カリア</t>
    </rPh>
    <rPh sb="51" eb="52">
      <t>ヨウ</t>
    </rPh>
    <rPh sb="54" eb="56">
      <t>ヒヨウ</t>
    </rPh>
    <phoneticPr fontId="3"/>
  </si>
  <si>
    <t>現場事務所、試験室、倉庫、材料保管場所等の敷地の借上げに要した地代及び建物を建築する代わりに貸ビル、マンション、民家等を長期借上げに要した費用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シキチ</t>
    </rPh>
    <rPh sb="24" eb="26">
      <t>カリア</t>
    </rPh>
    <rPh sb="28" eb="29">
      <t>ヨウ</t>
    </rPh>
    <rPh sb="31" eb="33">
      <t>チダイ</t>
    </rPh>
    <rPh sb="33" eb="34">
      <t>オヨ</t>
    </rPh>
    <rPh sb="35" eb="37">
      <t>タテモノ</t>
    </rPh>
    <rPh sb="38" eb="40">
      <t>ケンチク</t>
    </rPh>
    <rPh sb="42" eb="43">
      <t>カ</t>
    </rPh>
    <rPh sb="46" eb="47">
      <t>カシ</t>
    </rPh>
    <rPh sb="56" eb="59">
      <t>ミンカナド</t>
    </rPh>
    <rPh sb="60" eb="62">
      <t>チョウキ</t>
    </rPh>
    <rPh sb="62" eb="64">
      <t>カリア</t>
    </rPh>
    <rPh sb="66" eb="67">
      <t>ヨウ</t>
    </rPh>
    <rPh sb="69" eb="71">
      <t>ヒヨウ</t>
    </rPh>
    <phoneticPr fontId="3"/>
  </si>
  <si>
    <t>労働者送迎費</t>
    <rPh sb="0" eb="2">
      <t>ロウドウ</t>
    </rPh>
    <phoneticPr fontId="3"/>
  </si>
  <si>
    <t>通常トイレ費用</t>
    <rPh sb="0" eb="2">
      <t>ツウジョウ</t>
    </rPh>
    <rPh sb="5" eb="7">
      <t>ヒヨウ</t>
    </rPh>
    <phoneticPr fontId="3"/>
  </si>
  <si>
    <t>快適トイレ費用</t>
    <rPh sb="0" eb="2">
      <t>カイテキ</t>
    </rPh>
    <rPh sb="5" eb="7">
      <t>ヒヨウ</t>
    </rPh>
    <phoneticPr fontId="3"/>
  </si>
  <si>
    <t>現場環境改善費</t>
    <rPh sb="0" eb="2">
      <t>ゲンバ</t>
    </rPh>
    <rPh sb="2" eb="4">
      <t>カンキョウ</t>
    </rPh>
    <rPh sb="4" eb="6">
      <t>カイゼン</t>
    </rPh>
    <phoneticPr fontId="3"/>
  </si>
  <si>
    <t>仮設備関係</t>
    <rPh sb="0" eb="1">
      <t>カリ</t>
    </rPh>
    <rPh sb="1" eb="3">
      <t>セツビ</t>
    </rPh>
    <rPh sb="3" eb="5">
      <t>カンケイ</t>
    </rPh>
    <phoneticPr fontId="3"/>
  </si>
  <si>
    <t>営繕関係</t>
    <rPh sb="0" eb="2">
      <t>エイゼン</t>
    </rPh>
    <rPh sb="2" eb="4">
      <t>カンケイ</t>
    </rPh>
    <phoneticPr fontId="3"/>
  </si>
  <si>
    <t>安全関係</t>
    <rPh sb="0" eb="2">
      <t>アンゼン</t>
    </rPh>
    <rPh sb="2" eb="4">
      <t>カンケイ</t>
    </rPh>
    <phoneticPr fontId="3"/>
  </si>
  <si>
    <t>地域連携</t>
    <rPh sb="0" eb="2">
      <t>チイキ</t>
    </rPh>
    <rPh sb="2" eb="4">
      <t>レンケイ</t>
    </rPh>
    <phoneticPr fontId="3"/>
  </si>
  <si>
    <t>その他</t>
    <rPh sb="2" eb="3">
      <t>タ</t>
    </rPh>
    <phoneticPr fontId="3"/>
  </si>
  <si>
    <t>その他労災保険（法定外を含む）</t>
    <rPh sb="2" eb="3">
      <t>タ</t>
    </rPh>
    <rPh sb="3" eb="5">
      <t>ロウサイ</t>
    </rPh>
    <rPh sb="5" eb="7">
      <t>ホケン</t>
    </rPh>
    <rPh sb="8" eb="10">
      <t>ホウテイ</t>
    </rPh>
    <rPh sb="10" eb="11">
      <t>ガイ</t>
    </rPh>
    <rPh sb="12" eb="13">
      <t>フク</t>
    </rPh>
    <phoneticPr fontId="3"/>
  </si>
  <si>
    <t>事務用品費</t>
    <rPh sb="0" eb="2">
      <t>ジム</t>
    </rPh>
    <rPh sb="2" eb="4">
      <t>ヨウヒン</t>
    </rPh>
    <rPh sb="4" eb="5">
      <t>ヒ</t>
    </rPh>
    <phoneticPr fontId="3"/>
  </si>
  <si>
    <t>工事実績登録費</t>
    <rPh sb="2" eb="4">
      <t>ジッセキ</t>
    </rPh>
    <rPh sb="4" eb="6">
      <t>トウロク</t>
    </rPh>
    <rPh sb="6" eb="7">
      <t>ヒ</t>
    </rPh>
    <phoneticPr fontId="3"/>
  </si>
  <si>
    <t>公共事業労務費調査</t>
    <rPh sb="0" eb="2">
      <t>コウキョウ</t>
    </rPh>
    <rPh sb="2" eb="4">
      <t>ジギョウ</t>
    </rPh>
    <rPh sb="4" eb="7">
      <t>ロウムヒ</t>
    </rPh>
    <rPh sb="7" eb="9">
      <t>チョウサ</t>
    </rPh>
    <phoneticPr fontId="14"/>
  </si>
  <si>
    <t>その他（天候デリバティブ費用）</t>
    <rPh sb="2" eb="3">
      <t>タ</t>
    </rPh>
    <rPh sb="4" eb="6">
      <t>テンコウ</t>
    </rPh>
    <rPh sb="12" eb="14">
      <t>ヒヨウ</t>
    </rPh>
    <phoneticPr fontId="14"/>
  </si>
  <si>
    <t>外注経費</t>
    <rPh sb="2" eb="4">
      <t>ケイヒ</t>
    </rPh>
    <phoneticPr fontId="3"/>
  </si>
  <si>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3"/>
  </si>
  <si>
    <t>機器管理費
（電気通信設備工事の場合）</t>
    <rPh sb="0" eb="2">
      <t>キキ</t>
    </rPh>
    <rPh sb="2" eb="5">
      <t>カンリヒ</t>
    </rPh>
    <phoneticPr fontId="3"/>
  </si>
  <si>
    <t>鋼橋等工場製作費
（電気通信設備工事の場合は、機器単体費）</t>
    <rPh sb="12" eb="14">
      <t>ツウシン</t>
    </rPh>
    <rPh sb="14" eb="16">
      <t>セツビ</t>
    </rPh>
    <phoneticPr fontId="3"/>
  </si>
  <si>
    <t>調査票未入力の件数</t>
    <rPh sb="0" eb="3">
      <t>チョウサヒョウ</t>
    </rPh>
    <rPh sb="7" eb="9">
      <t>ケンスウ</t>
    </rPh>
    <phoneticPr fontId="3"/>
  </si>
  <si>
    <t>調査票エラーの件数</t>
    <rPh sb="0" eb="3">
      <t>チョウサヒョウ</t>
    </rPh>
    <rPh sb="7" eb="9">
      <t>ケンスウ</t>
    </rPh>
    <phoneticPr fontId="3"/>
  </si>
  <si>
    <t>下請会社名</t>
    <rPh sb="0" eb="2">
      <t>シタウケ</t>
    </rPh>
    <rPh sb="2" eb="4">
      <t>カイシャ</t>
    </rPh>
    <rPh sb="4" eb="5">
      <t>メイ</t>
    </rPh>
    <phoneticPr fontId="3"/>
  </si>
  <si>
    <t>令和2年度</t>
    <rPh sb="0" eb="2">
      <t>レイワ</t>
    </rPh>
    <rPh sb="3" eb="5">
      <t>ネンド</t>
    </rPh>
    <phoneticPr fontId="5"/>
  </si>
  <si>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69"/>
  </si>
  <si>
    <t>年</t>
    <rPh sb="0" eb="1">
      <t>ネン</t>
    </rPh>
    <phoneticPr fontId="5"/>
  </si>
  <si>
    <t>月</t>
    <rPh sb="0" eb="1">
      <t>ツキ</t>
    </rPh>
    <phoneticPr fontId="5"/>
  </si>
  <si>
    <t>日</t>
    <rPh sb="0" eb="1">
      <t>ニチ</t>
    </rPh>
    <phoneticPr fontId="5"/>
  </si>
  <si>
    <t>（自）　和暦</t>
    <rPh sb="1" eb="2">
      <t>ジユウ</t>
    </rPh>
    <rPh sb="4" eb="6">
      <t>ワレキ</t>
    </rPh>
    <phoneticPr fontId="4"/>
  </si>
  <si>
    <t>（至）　和暦</t>
    <rPh sb="1" eb="2">
      <t>イタル</t>
    </rPh>
    <rPh sb="4" eb="6">
      <t>ワレキ</t>
    </rPh>
    <phoneticPr fontId="4"/>
  </si>
  <si>
    <t>平成25</t>
    <rPh sb="0" eb="2">
      <t>ヘイセイ</t>
    </rPh>
    <phoneticPr fontId="5"/>
  </si>
  <si>
    <t>平成26</t>
    <rPh sb="0" eb="2">
      <t>ヘイセイ</t>
    </rPh>
    <phoneticPr fontId="5"/>
  </si>
  <si>
    <t>平成27</t>
    <rPh sb="0" eb="2">
      <t>ヘイセイ</t>
    </rPh>
    <phoneticPr fontId="5"/>
  </si>
  <si>
    <t>平成28</t>
    <rPh sb="0" eb="2">
      <t>ヘイセイ</t>
    </rPh>
    <phoneticPr fontId="5"/>
  </si>
  <si>
    <t>平成29</t>
    <rPh sb="0" eb="2">
      <t>ヘイセイ</t>
    </rPh>
    <phoneticPr fontId="5"/>
  </si>
  <si>
    <t>平成30</t>
    <rPh sb="0" eb="2">
      <t>ヘイセイ</t>
    </rPh>
    <phoneticPr fontId="5"/>
  </si>
  <si>
    <t>平成31</t>
    <rPh sb="0" eb="2">
      <t>ヘイセイ</t>
    </rPh>
    <phoneticPr fontId="5"/>
  </si>
  <si>
    <t>令和元</t>
    <rPh sb="0" eb="2">
      <t>レイワ</t>
    </rPh>
    <phoneticPr fontId="5"/>
  </si>
  <si>
    <t>令和2</t>
    <rPh sb="0" eb="2">
      <t>レイワ</t>
    </rPh>
    <phoneticPr fontId="5"/>
  </si>
  <si>
    <t>令和3</t>
    <rPh sb="0" eb="2">
      <t>レイワ</t>
    </rPh>
    <phoneticPr fontId="5"/>
  </si>
  <si>
    <t>A　墜落制止用器具（フルハーネス）費用
「ニ 安全費」のうち、墜落制止用器具（フルハーネス）費用</t>
    <rPh sb="40" eb="42">
      <t>アンゼンヒヨウ</t>
    </rPh>
    <phoneticPr fontId="5"/>
  </si>
  <si>
    <t>工事における工期の延長等に伴う増加費用（率項目+積上げ項目）</t>
    <phoneticPr fontId="4"/>
  </si>
  <si>
    <t>25市</t>
    <rPh sb="2" eb="3">
      <t>シ</t>
    </rPh>
    <phoneticPr fontId="6"/>
  </si>
  <si>
    <t>60市</t>
    <rPh sb="2" eb="3">
      <t>シ</t>
    </rPh>
    <phoneticPr fontId="6"/>
  </si>
  <si>
    <t>施工地域（20200916更新）</t>
    <rPh sb="0" eb="2">
      <t>セコウ</t>
    </rPh>
    <rPh sb="2" eb="4">
      <t>チイキ</t>
    </rPh>
    <rPh sb="13" eb="15">
      <t>コウシン</t>
    </rPh>
    <phoneticPr fontId="5"/>
  </si>
  <si>
    <t>令和2年度</t>
    <rPh sb="0" eb="2">
      <t>レイワ</t>
    </rPh>
    <rPh sb="3" eb="5">
      <t>ネンド</t>
    </rPh>
    <phoneticPr fontId="24"/>
  </si>
  <si>
    <t>平成31年度</t>
    <rPh sb="0" eb="2">
      <t>ヘイセイ</t>
    </rPh>
    <rPh sb="4" eb="6">
      <t>ネンド</t>
    </rPh>
    <phoneticPr fontId="24"/>
  </si>
  <si>
    <t>平成30年度</t>
    <rPh sb="0" eb="2">
      <t>ヘイセイ</t>
    </rPh>
    <rPh sb="4" eb="6">
      <t>ネンド</t>
    </rPh>
    <phoneticPr fontId="24"/>
  </si>
  <si>
    <t>平成29年度</t>
    <rPh sb="0" eb="2">
      <t>ヘイセイ</t>
    </rPh>
    <rPh sb="4" eb="6">
      <t>ネンド</t>
    </rPh>
    <phoneticPr fontId="24"/>
  </si>
  <si>
    <t>平成28年度以前</t>
    <rPh sb="0" eb="2">
      <t>ヘイセイ</t>
    </rPh>
    <rPh sb="4" eb="6">
      <t>ネンド</t>
    </rPh>
    <rPh sb="6" eb="8">
      <t>イゼン</t>
    </rPh>
    <phoneticPr fontId="6"/>
  </si>
  <si>
    <t>H28基準書_共通仮設</t>
    <phoneticPr fontId="5"/>
  </si>
  <si>
    <t>H29基準書_共通仮設</t>
    <phoneticPr fontId="5"/>
  </si>
  <si>
    <t>H31基準書_共通仮設</t>
  </si>
  <si>
    <t>H30基準書_共通仮設</t>
  </si>
  <si>
    <t>令和元年度</t>
    <rPh sb="0" eb="2">
      <t>レイワ</t>
    </rPh>
    <rPh sb="2" eb="4">
      <t>ガンネン</t>
    </rPh>
    <rPh sb="3" eb="5">
      <t>ネンド</t>
    </rPh>
    <phoneticPr fontId="24"/>
  </si>
  <si>
    <t>令和02基準書_共通仮設</t>
    <rPh sb="0" eb="2">
      <t>レイワ</t>
    </rPh>
    <phoneticPr fontId="5"/>
  </si>
  <si>
    <t>3：市街地（DID補正）（1）-1（×1.4）</t>
    <rPh sb="2" eb="5">
      <t>シガイチ</t>
    </rPh>
    <rPh sb="9" eb="11">
      <t>ホセイ</t>
    </rPh>
    <phoneticPr fontId="6"/>
  </si>
  <si>
    <t>4：一般交通影響有り（1）-1（×1.4）</t>
    <rPh sb="2" eb="4">
      <t>イッパン</t>
    </rPh>
    <rPh sb="4" eb="6">
      <t>コウツウ</t>
    </rPh>
    <rPh sb="6" eb="8">
      <t>エイキョウ</t>
    </rPh>
    <rPh sb="8" eb="9">
      <t>アリ</t>
    </rPh>
    <phoneticPr fontId="6"/>
  </si>
  <si>
    <t>5：一般交通影響有り（2）-1（×1.2）</t>
    <rPh sb="2" eb="4">
      <t>イッパン</t>
    </rPh>
    <rPh sb="4" eb="6">
      <t>コウツウ</t>
    </rPh>
    <rPh sb="6" eb="8">
      <t>エイキョウ</t>
    </rPh>
    <rPh sb="8" eb="9">
      <t>アリ</t>
    </rPh>
    <phoneticPr fontId="6"/>
  </si>
  <si>
    <t>6：市街地（DID補正）（1）-2（×1.3）</t>
    <rPh sb="2" eb="5">
      <t>シガイチ</t>
    </rPh>
    <rPh sb="9" eb="11">
      <t>ホセイ</t>
    </rPh>
    <phoneticPr fontId="6"/>
  </si>
  <si>
    <t>7：一般交通影響有り（1）-2（×1.3）</t>
    <rPh sb="2" eb="4">
      <t>イッパン</t>
    </rPh>
    <rPh sb="4" eb="6">
      <t>コウツウ</t>
    </rPh>
    <rPh sb="6" eb="8">
      <t>エイキョウ</t>
    </rPh>
    <rPh sb="8" eb="9">
      <t>アリ</t>
    </rPh>
    <phoneticPr fontId="6"/>
  </si>
  <si>
    <t>8：一般交通影響有り（2）-2（×1.2）</t>
    <rPh sb="2" eb="4">
      <t>イッパン</t>
    </rPh>
    <rPh sb="4" eb="6">
      <t>コウツウ</t>
    </rPh>
    <rPh sb="6" eb="8">
      <t>エイキョウ</t>
    </rPh>
    <rPh sb="8" eb="9">
      <t>アリ</t>
    </rPh>
    <phoneticPr fontId="6"/>
  </si>
  <si>
    <t>9：市街地（DID補正）（1）-3（×1.2）</t>
    <rPh sb="2" eb="5">
      <t>シガイチ</t>
    </rPh>
    <rPh sb="9" eb="11">
      <t>ホセイ</t>
    </rPh>
    <phoneticPr fontId="6"/>
  </si>
  <si>
    <t>10：山間僻地及び離島（×1.3）</t>
  </si>
  <si>
    <t>10：山間僻地及び離島（×1.3）</t>
    <phoneticPr fontId="5"/>
  </si>
  <si>
    <t>11：補正無し</t>
    <rPh sb="3" eb="5">
      <t>ホセイ</t>
    </rPh>
    <rPh sb="5" eb="6">
      <t>ナ</t>
    </rPh>
    <phoneticPr fontId="6"/>
  </si>
  <si>
    <t>5：一般交通影響有り（2）-1（×1.4）</t>
    <rPh sb="2" eb="4">
      <t>イッパン</t>
    </rPh>
    <rPh sb="4" eb="6">
      <t>コウツウ</t>
    </rPh>
    <rPh sb="6" eb="8">
      <t>エイキョウ</t>
    </rPh>
    <rPh sb="8" eb="9">
      <t>アリ</t>
    </rPh>
    <phoneticPr fontId="6"/>
  </si>
  <si>
    <t>3：市街地（DID補正）（1）-1（×1.2）</t>
    <rPh sb="2" eb="5">
      <t>シガイチ</t>
    </rPh>
    <rPh sb="9" eb="11">
      <t>ホセイ</t>
    </rPh>
    <phoneticPr fontId="6"/>
  </si>
  <si>
    <t>4：一般交通影響有り（1）-1（×1.2）</t>
    <rPh sb="2" eb="4">
      <t>イッパン</t>
    </rPh>
    <rPh sb="4" eb="6">
      <t>コウツウ</t>
    </rPh>
    <rPh sb="6" eb="8">
      <t>エイキョウ</t>
    </rPh>
    <rPh sb="8" eb="9">
      <t>アリ</t>
    </rPh>
    <phoneticPr fontId="6"/>
  </si>
  <si>
    <t>6：市街地（DID補正）（1）-2（×1.1）</t>
    <rPh sb="2" eb="5">
      <t>シガイチ</t>
    </rPh>
    <rPh sb="9" eb="11">
      <t>ホセイ</t>
    </rPh>
    <phoneticPr fontId="6"/>
  </si>
  <si>
    <t>7：一般交通影響有り（1）-2（×1.1）</t>
    <rPh sb="2" eb="4">
      <t>イッパン</t>
    </rPh>
    <rPh sb="4" eb="6">
      <t>コウツウ</t>
    </rPh>
    <rPh sb="6" eb="8">
      <t>エイキョウ</t>
    </rPh>
    <rPh sb="8" eb="9">
      <t>アリ</t>
    </rPh>
    <phoneticPr fontId="6"/>
  </si>
  <si>
    <t>8：一般交通影響有り（2）-2（×1.1）</t>
    <rPh sb="2" eb="4">
      <t>イッパン</t>
    </rPh>
    <rPh sb="4" eb="6">
      <t>コウツウ</t>
    </rPh>
    <rPh sb="6" eb="8">
      <t>エイキョウ</t>
    </rPh>
    <rPh sb="8" eb="9">
      <t>アリ</t>
    </rPh>
    <phoneticPr fontId="6"/>
  </si>
  <si>
    <t>10：山間僻地及び離島（×1.0）</t>
    <phoneticPr fontId="5"/>
  </si>
  <si>
    <t>掘削（ＩＣＴ）（河床等掘削を除く）</t>
    <rPh sb="0" eb="2">
      <t>クッサク</t>
    </rPh>
    <rPh sb="8" eb="10">
      <t>カショウ</t>
    </rPh>
    <rPh sb="10" eb="11">
      <t>トウ</t>
    </rPh>
    <rPh sb="11" eb="13">
      <t>クッサク</t>
    </rPh>
    <rPh sb="14" eb="15">
      <t>ノゾ</t>
    </rPh>
    <phoneticPr fontId="72"/>
  </si>
  <si>
    <t>河床等掘削（ＩＣＴ）</t>
    <rPh sb="0" eb="2">
      <t>カショウ</t>
    </rPh>
    <rPh sb="2" eb="3">
      <t>トウ</t>
    </rPh>
    <rPh sb="3" eb="5">
      <t>クッサク</t>
    </rPh>
    <phoneticPr fontId="72"/>
  </si>
  <si>
    <t>作業土工（床掘）（ＩＣＴ）</t>
    <rPh sb="0" eb="2">
      <t>サギョウ</t>
    </rPh>
    <rPh sb="2" eb="4">
      <t>ドコウ</t>
    </rPh>
    <rPh sb="5" eb="7">
      <t>トコボリ</t>
    </rPh>
    <phoneticPr fontId="72"/>
  </si>
  <si>
    <t>法面工（ＩＣＴ）</t>
    <rPh sb="0" eb="2">
      <t>ノリメン</t>
    </rPh>
    <rPh sb="2" eb="3">
      <t>コウ</t>
    </rPh>
    <phoneticPr fontId="15"/>
  </si>
  <si>
    <t>付帯構造物設置工（ＩＣＴ）</t>
    <rPh sb="0" eb="2">
      <t>フタイ</t>
    </rPh>
    <rPh sb="2" eb="5">
      <t>コウゾウブツ</t>
    </rPh>
    <rPh sb="5" eb="7">
      <t>セッチ</t>
    </rPh>
    <rPh sb="7" eb="8">
      <t>コウ</t>
    </rPh>
    <phoneticPr fontId="15"/>
  </si>
  <si>
    <t>バックホウ浚渫船（ＩＣＴ）</t>
    <rPh sb="5" eb="7">
      <t>シュンセツ</t>
    </rPh>
    <rPh sb="7" eb="8">
      <t>セン</t>
    </rPh>
    <phoneticPr fontId="15"/>
  </si>
  <si>
    <t>システム初期費（ＩＣＴ）　中層混合処理機トレンチャ式</t>
    <rPh sb="4" eb="6">
      <t>ショキ</t>
    </rPh>
    <rPh sb="6" eb="7">
      <t>ヒ</t>
    </rPh>
    <phoneticPr fontId="72"/>
  </si>
  <si>
    <t>システム初期費（ＩＣＴ）　深層混合処理機スラリー式</t>
    <rPh sb="4" eb="6">
      <t>ショキ</t>
    </rPh>
    <rPh sb="6" eb="7">
      <t>ヒ</t>
    </rPh>
    <phoneticPr fontId="72"/>
  </si>
  <si>
    <t>システム初期費（ＩＣＴ）　路面切削機</t>
    <rPh sb="4" eb="6">
      <t>ショキ</t>
    </rPh>
    <rPh sb="6" eb="7">
      <t>ヒ</t>
    </rPh>
    <phoneticPr fontId="72"/>
  </si>
  <si>
    <t>週休２日交替制モデル工事の試行</t>
    <phoneticPr fontId="5"/>
  </si>
  <si>
    <t>週休２日交替制モデル工事の試行工事</t>
    <phoneticPr fontId="5"/>
  </si>
  <si>
    <t>ICT補正</t>
    <rPh sb="3" eb="5">
      <t>ホセイ</t>
    </rPh>
    <phoneticPr fontId="24"/>
  </si>
  <si>
    <t>ICT補正</t>
    <rPh sb="3" eb="5">
      <t>ホセイ</t>
    </rPh>
    <phoneticPr fontId="5"/>
  </si>
  <si>
    <r>
      <t>1：補正有り(</t>
    </r>
    <r>
      <rPr>
        <sz val="10"/>
        <rFont val="ＭＳ Ｐゴシック"/>
        <family val="3"/>
        <charset val="128"/>
      </rPr>
      <t>×</t>
    </r>
    <r>
      <rPr>
        <sz val="10"/>
        <rFont val="ＭＳ 明朝"/>
        <family val="1"/>
        <charset val="128"/>
      </rPr>
      <t>1.2</t>
    </r>
    <r>
      <rPr>
        <sz val="10"/>
        <rFont val="ＭＳ Ｐゴシック"/>
        <family val="3"/>
        <charset val="128"/>
      </rPr>
      <t>)</t>
    </r>
    <rPh sb="2" eb="4">
      <t>ホセイ</t>
    </rPh>
    <rPh sb="4" eb="5">
      <t>ア</t>
    </rPh>
    <phoneticPr fontId="69"/>
  </si>
  <si>
    <t>試行工事の対象期間（終）</t>
    <rPh sb="0" eb="2">
      <t>シコウ</t>
    </rPh>
    <rPh sb="10" eb="11">
      <t>オ</t>
    </rPh>
    <phoneticPr fontId="6"/>
  </si>
  <si>
    <t>積算に用いた労務費補正係数</t>
    <rPh sb="0" eb="2">
      <t>セキサン</t>
    </rPh>
    <rPh sb="3" eb="4">
      <t>モチ</t>
    </rPh>
    <rPh sb="6" eb="9">
      <t>ロウムヒ</t>
    </rPh>
    <rPh sb="9" eb="11">
      <t>ホセイ</t>
    </rPh>
    <rPh sb="11" eb="13">
      <t>ケイスウ</t>
    </rPh>
    <phoneticPr fontId="5"/>
  </si>
  <si>
    <t>）</t>
    <phoneticPr fontId="5"/>
  </si>
  <si>
    <t>試行工事対象期間　１回目　　　　　　　　　　試行工事の対象期間（始）</t>
    <rPh sb="22" eb="24">
      <t>シコウ</t>
    </rPh>
    <rPh sb="32" eb="33">
      <t>ハジ</t>
    </rPh>
    <phoneticPr fontId="6"/>
  </si>
  <si>
    <t>試行工事対象期間　２回目　　　　　　　　　　試行工事の対象期間（始）</t>
    <rPh sb="22" eb="24">
      <t>シコウ</t>
    </rPh>
    <rPh sb="32" eb="33">
      <t>ハジ</t>
    </rPh>
    <phoneticPr fontId="6"/>
  </si>
  <si>
    <t>「有り」の場合：工期期間中の休日率</t>
    <rPh sb="8" eb="10">
      <t>コウキ</t>
    </rPh>
    <rPh sb="10" eb="13">
      <t>キカンチュウ</t>
    </rPh>
    <rPh sb="14" eb="16">
      <t>キュウジツ</t>
    </rPh>
    <rPh sb="16" eb="17">
      <t>リツ</t>
    </rPh>
    <phoneticPr fontId="6"/>
  </si>
  <si>
    <t>試行工事対象期間　３回目　　　　　　　　　　試行工事の対象期間（始）</t>
    <rPh sb="22" eb="24">
      <t>シコウ</t>
    </rPh>
    <rPh sb="32" eb="33">
      <t>ハジ</t>
    </rPh>
    <phoneticPr fontId="6"/>
  </si>
  <si>
    <t>　　令和元年度（平成31年度）以前に発注した工事は、適宜名称の読み替え等を行い、入力して下さい。</t>
    <rPh sb="2" eb="4">
      <t>レイワ</t>
    </rPh>
    <rPh sb="4" eb="6">
      <t>ガンネン</t>
    </rPh>
    <rPh sb="6" eb="7">
      <t>ド</t>
    </rPh>
    <rPh sb="8" eb="10">
      <t>ヘイセイ</t>
    </rPh>
    <rPh sb="12" eb="14">
      <t>ネンド</t>
    </rPh>
    <rPh sb="15" eb="17">
      <t>イゼン</t>
    </rPh>
    <rPh sb="18" eb="20">
      <t>ハッチュウ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69"/>
  </si>
  <si>
    <t>５)</t>
    <phoneticPr fontId="5"/>
  </si>
  <si>
    <t>新型コロナウイルスの感染拡大防止対策に係る費用</t>
    <rPh sb="0" eb="2">
      <t>シンガタ</t>
    </rPh>
    <rPh sb="10" eb="12">
      <t>カンセン</t>
    </rPh>
    <rPh sb="12" eb="14">
      <t>カクダイ</t>
    </rPh>
    <rPh sb="14" eb="16">
      <t>ボウシ</t>
    </rPh>
    <rPh sb="16" eb="18">
      <t>タイサク</t>
    </rPh>
    <rPh sb="19" eb="20">
      <t>カカワ</t>
    </rPh>
    <rPh sb="21" eb="23">
      <t>ヒヨウ</t>
    </rPh>
    <phoneticPr fontId="5"/>
  </si>
  <si>
    <t>　うち、新型コロナウイルスの感染拡大防止対策に係る費用</t>
    <phoneticPr fontId="5"/>
  </si>
  <si>
    <t>新型コロナウイルスの感染拡大防止対策に係る費用調査</t>
    <rPh sb="0" eb="2">
      <t>シンガタ</t>
    </rPh>
    <rPh sb="10" eb="12">
      <t>カンセン</t>
    </rPh>
    <rPh sb="12" eb="14">
      <t>カクダイ</t>
    </rPh>
    <rPh sb="14" eb="16">
      <t>ボウシ</t>
    </rPh>
    <rPh sb="16" eb="18">
      <t>タイサク</t>
    </rPh>
    <rPh sb="19" eb="20">
      <t>カカワ</t>
    </rPh>
    <rPh sb="21" eb="23">
      <t>ヒヨウ</t>
    </rPh>
    <rPh sb="23" eb="25">
      <t>チョウサチョウサ</t>
    </rPh>
    <phoneticPr fontId="5"/>
  </si>
  <si>
    <t>共通仮設費</t>
    <rPh sb="0" eb="2">
      <t>キョウツウ</t>
    </rPh>
    <rPh sb="2" eb="4">
      <t>カセツ</t>
    </rPh>
    <rPh sb="4" eb="5">
      <t>ヒ</t>
    </rPh>
    <phoneticPr fontId="72"/>
  </si>
  <si>
    <t>項目</t>
    <rPh sb="0" eb="2">
      <t>コウモク</t>
    </rPh>
    <phoneticPr fontId="5"/>
  </si>
  <si>
    <t>労働者宿舎における密集を避けるための、近隣宿泊施設の宿泊費・交通費</t>
    <rPh sb="0" eb="3">
      <t>ロウドウシャ</t>
    </rPh>
    <rPh sb="3" eb="5">
      <t>シュクシャ</t>
    </rPh>
    <rPh sb="9" eb="11">
      <t>ミッシュウ</t>
    </rPh>
    <rPh sb="12" eb="13">
      <t>サ</t>
    </rPh>
    <rPh sb="19" eb="21">
      <t>キンリン</t>
    </rPh>
    <rPh sb="21" eb="23">
      <t>シュクハク</t>
    </rPh>
    <rPh sb="23" eb="25">
      <t>シセツ</t>
    </rPh>
    <rPh sb="26" eb="29">
      <t>シュクハクヒ</t>
    </rPh>
    <rPh sb="30" eb="33">
      <t>コウツウヒ</t>
    </rPh>
    <phoneticPr fontId="72"/>
  </si>
  <si>
    <t>現場事務所や労働者宿舎等の拡張費用・借地料</t>
    <rPh sb="0" eb="2">
      <t>ゲンバ</t>
    </rPh>
    <rPh sb="2" eb="4">
      <t>ジム</t>
    </rPh>
    <rPh sb="4" eb="5">
      <t>ショ</t>
    </rPh>
    <rPh sb="6" eb="9">
      <t>ロウドウシャ</t>
    </rPh>
    <rPh sb="9" eb="11">
      <t>シュクシャ</t>
    </rPh>
    <rPh sb="11" eb="12">
      <t>トウ</t>
    </rPh>
    <rPh sb="13" eb="15">
      <t>カクチョウ</t>
    </rPh>
    <rPh sb="15" eb="17">
      <t>ヒヨウ</t>
    </rPh>
    <rPh sb="18" eb="21">
      <t>シャクチリョウ</t>
    </rPh>
    <phoneticPr fontId="72"/>
  </si>
  <si>
    <t>※本シートは、設計変更により新型コロナウイルスの感染拡大防止対策に係る費用を計上した場合のみご記入ください。</t>
    <rPh sb="1" eb="2">
      <t>ホン</t>
    </rPh>
    <rPh sb="7" eb="9">
      <t>セッケイ</t>
    </rPh>
    <rPh sb="9" eb="11">
      <t>ヘンコウ</t>
    </rPh>
    <rPh sb="14" eb="16">
      <t>シンガタ</t>
    </rPh>
    <rPh sb="24" eb="26">
      <t>カンセン</t>
    </rPh>
    <rPh sb="26" eb="28">
      <t>カクダイ</t>
    </rPh>
    <rPh sb="28" eb="30">
      <t>ボウシ</t>
    </rPh>
    <rPh sb="30" eb="32">
      <t>タイサク</t>
    </rPh>
    <rPh sb="33" eb="34">
      <t>カカワ</t>
    </rPh>
    <rPh sb="35" eb="37">
      <t>ヒヨウ</t>
    </rPh>
    <rPh sb="38" eb="40">
      <t>ケイジョウ</t>
    </rPh>
    <rPh sb="42" eb="44">
      <t>バアイ</t>
    </rPh>
    <rPh sb="47" eb="49">
      <t>キニュウ</t>
    </rPh>
    <phoneticPr fontId="5"/>
  </si>
  <si>
    <t>金額</t>
    <rPh sb="0" eb="2">
      <t>キンガク</t>
    </rPh>
    <phoneticPr fontId="5"/>
  </si>
  <si>
    <t>現場管理費</t>
    <rPh sb="0" eb="2">
      <t>ゲンバ</t>
    </rPh>
    <rPh sb="2" eb="5">
      <t>カンリヒ</t>
    </rPh>
    <phoneticPr fontId="72"/>
  </si>
  <si>
    <t>現場従事者のマスク、インカム、シールドヘルメット等の購入・リース費用</t>
    <rPh sb="0" eb="2">
      <t>ゲンバ</t>
    </rPh>
    <rPh sb="2" eb="5">
      <t>ジュウジシャ</t>
    </rPh>
    <rPh sb="24" eb="25">
      <t>ナド</t>
    </rPh>
    <rPh sb="26" eb="28">
      <t>コウニュウ</t>
    </rPh>
    <rPh sb="32" eb="34">
      <t>ヒヨウ</t>
    </rPh>
    <phoneticPr fontId="72"/>
  </si>
  <si>
    <t>現場に配備する消毒液、赤外線体温計等の購入・リース費用</t>
    <rPh sb="0" eb="2">
      <t>ゲンバ</t>
    </rPh>
    <rPh sb="3" eb="5">
      <t>ハイビ</t>
    </rPh>
    <rPh sb="7" eb="9">
      <t>ショウドク</t>
    </rPh>
    <rPh sb="9" eb="10">
      <t>エキ</t>
    </rPh>
    <rPh sb="11" eb="14">
      <t>セキガイセン</t>
    </rPh>
    <rPh sb="14" eb="18">
      <t>タイオンケイナド</t>
    </rPh>
    <rPh sb="19" eb="21">
      <t>コウニュウ</t>
    </rPh>
    <rPh sb="25" eb="27">
      <t>ヒヨウ</t>
    </rPh>
    <phoneticPr fontId="72"/>
  </si>
  <si>
    <t>遠隔臨場やテレビ会議等のための機材・通信費</t>
    <rPh sb="0" eb="2">
      <t>エンカク</t>
    </rPh>
    <rPh sb="2" eb="4">
      <t>リンジョウ</t>
    </rPh>
    <rPh sb="8" eb="11">
      <t>カイギナド</t>
    </rPh>
    <rPh sb="15" eb="17">
      <t>キザイ</t>
    </rPh>
    <rPh sb="18" eb="21">
      <t>ツウシンヒ</t>
    </rPh>
    <phoneticPr fontId="72"/>
  </si>
  <si>
    <t>新型コロナウイルス感染拡大防止対策費用</t>
    <rPh sb="0" eb="2">
      <t>シンガタ</t>
    </rPh>
    <rPh sb="9" eb="11">
      <t>カンセン</t>
    </rPh>
    <rPh sb="11" eb="13">
      <t>カクダイ</t>
    </rPh>
    <rPh sb="13" eb="15">
      <t>ボウシ</t>
    </rPh>
    <rPh sb="15" eb="17">
      <t>タイサク</t>
    </rPh>
    <rPh sb="17" eb="19">
      <t>ヒヨウ</t>
    </rPh>
    <phoneticPr fontId="3"/>
  </si>
  <si>
    <t>ICT浚渫工（河川）</t>
    <rPh sb="3" eb="5">
      <t>シュンセツ</t>
    </rPh>
    <rPh sb="5" eb="6">
      <t>コウ</t>
    </rPh>
    <rPh sb="7" eb="9">
      <t>カセン</t>
    </rPh>
    <phoneticPr fontId="5"/>
  </si>
  <si>
    <t>ICT地盤改良工（浅層・中層混合処理）</t>
    <rPh sb="3" eb="5">
      <t>ジバン</t>
    </rPh>
    <rPh sb="5" eb="7">
      <t>カイリョウ</t>
    </rPh>
    <rPh sb="7" eb="8">
      <t>コウ</t>
    </rPh>
    <rPh sb="9" eb="11">
      <t>センソウ</t>
    </rPh>
    <rPh sb="12" eb="14">
      <t>チュウソウ</t>
    </rPh>
    <rPh sb="14" eb="16">
      <t>コンゴウ</t>
    </rPh>
    <rPh sb="16" eb="18">
      <t>ショリ</t>
    </rPh>
    <phoneticPr fontId="5"/>
  </si>
  <si>
    <t>ICT法面工（吹付工）</t>
    <rPh sb="3" eb="5">
      <t>ノリメン</t>
    </rPh>
    <rPh sb="5" eb="6">
      <t>コウ</t>
    </rPh>
    <rPh sb="7" eb="9">
      <t>フキツケ</t>
    </rPh>
    <rPh sb="9" eb="10">
      <t>コウ</t>
    </rPh>
    <phoneticPr fontId="5"/>
  </si>
  <si>
    <t>ICT地盤改良工（深層）</t>
    <rPh sb="3" eb="5">
      <t>ジバン</t>
    </rPh>
    <rPh sb="5" eb="7">
      <t>カイリョウ</t>
    </rPh>
    <rPh sb="7" eb="8">
      <t>コウ</t>
    </rPh>
    <rPh sb="9" eb="11">
      <t>シンソウ</t>
    </rPh>
    <phoneticPr fontId="5"/>
  </si>
  <si>
    <t>ICT舗装工（修繕工）</t>
    <rPh sb="3" eb="5">
      <t>ホソウ</t>
    </rPh>
    <rPh sb="5" eb="6">
      <t>コウ</t>
    </rPh>
    <rPh sb="7" eb="9">
      <t>シュウゼン</t>
    </rPh>
    <rPh sb="9" eb="10">
      <t>コウ</t>
    </rPh>
    <phoneticPr fontId="5"/>
  </si>
  <si>
    <t>ICT法面工（吹付法枠工）</t>
    <rPh sb="3" eb="5">
      <t>ノリメン</t>
    </rPh>
    <rPh sb="5" eb="6">
      <t>コウ</t>
    </rPh>
    <rPh sb="7" eb="9">
      <t>フキツケ</t>
    </rPh>
    <rPh sb="9" eb="11">
      <t>ノリワク</t>
    </rPh>
    <rPh sb="11" eb="12">
      <t>コウ</t>
    </rPh>
    <phoneticPr fontId="5"/>
  </si>
  <si>
    <t>日</t>
    <rPh sb="0" eb="1">
      <t>ニチ</t>
    </rPh>
    <phoneticPr fontId="4"/>
  </si>
  <si>
    <t>年）</t>
    <rPh sb="0" eb="1">
      <t>ネン</t>
    </rPh>
    <phoneticPr fontId="4"/>
  </si>
  <si>
    <t>（</t>
  </si>
  <si>
    <t>（</t>
    <phoneticPr fontId="5"/>
  </si>
  <si>
    <t>月）</t>
    <rPh sb="0" eb="1">
      <t>ガツ</t>
    </rPh>
    <phoneticPr fontId="4"/>
  </si>
  <si>
    <t>日）</t>
    <rPh sb="0" eb="1">
      <t>ニチ</t>
    </rPh>
    <phoneticPr fontId="4"/>
  </si>
  <si>
    <t>地盤改良工　安定処理（ＩＣＴ）</t>
    <rPh sb="0" eb="2">
      <t>ジバン</t>
    </rPh>
    <rPh sb="2" eb="4">
      <t>カイリョウ</t>
    </rPh>
    <rPh sb="4" eb="5">
      <t>コウ</t>
    </rPh>
    <rPh sb="6" eb="8">
      <t>アンテイ</t>
    </rPh>
    <rPh sb="8" eb="10">
      <t>ショリ</t>
    </rPh>
    <phoneticPr fontId="15"/>
  </si>
  <si>
    <t>地盤改良工　中層混合処理（ＩＣＴ）</t>
    <rPh sb="0" eb="2">
      <t>ジバン</t>
    </rPh>
    <rPh sb="2" eb="4">
      <t>カイリョウ</t>
    </rPh>
    <rPh sb="4" eb="5">
      <t>コウ</t>
    </rPh>
    <rPh sb="6" eb="8">
      <t>チュウソウ</t>
    </rPh>
    <rPh sb="8" eb="10">
      <t>コンゴウ</t>
    </rPh>
    <rPh sb="10" eb="12">
      <t>ショリ</t>
    </rPh>
    <phoneticPr fontId="15"/>
  </si>
  <si>
    <t>地盤改良工　スラリー撹拌工（ＩＣＴ）</t>
    <rPh sb="0" eb="2">
      <t>ジバン</t>
    </rPh>
    <rPh sb="2" eb="4">
      <t>カイリョウ</t>
    </rPh>
    <rPh sb="4" eb="5">
      <t>コウ</t>
    </rPh>
    <rPh sb="10" eb="12">
      <t>カクハン</t>
    </rPh>
    <rPh sb="12" eb="13">
      <t>コウ</t>
    </rPh>
    <phoneticPr fontId="15"/>
  </si>
  <si>
    <t>切削オーバーレイ工（ＩＣＴ）</t>
    <rPh sb="0" eb="2">
      <t>セッサク</t>
    </rPh>
    <rPh sb="8" eb="9">
      <t>コウ</t>
    </rPh>
    <phoneticPr fontId="3"/>
  </si>
  <si>
    <t>保守点検　掘削（ＩＣＴ）（河床等掘削を除く）</t>
  </si>
  <si>
    <t>保守点検　路体（築堤）盛土（ＩＣＴ）</t>
  </si>
  <si>
    <t>保守点検　路床盛土（ＩＣＴ）</t>
  </si>
  <si>
    <t>保守点検　法面整形（ＩＣＴ）</t>
  </si>
  <si>
    <t>保守点検　河床等掘削（ＩＣＴ）</t>
  </si>
  <si>
    <t>保守点検　作業土工（床掘）（ＩＣＴ）</t>
  </si>
  <si>
    <t>保守点検　不陸整正（ＩＣＴ）</t>
  </si>
  <si>
    <t>保守点検　下層路盤（車道・路肩部）（ＩＣＴ）</t>
  </si>
  <si>
    <t>保守点検　上層路盤（車道・路肩部）（ＩＣＴ）</t>
  </si>
  <si>
    <t>保守点検　バックホウ浚渫船（ＩＣＴ）</t>
  </si>
  <si>
    <t>保守点検　地盤改良工　安定処理（ＩＣＴ）</t>
  </si>
  <si>
    <t>保守点検　地盤改良工　中層混合処理（ＩＣＴ）</t>
  </si>
  <si>
    <t>保守点検　法面工（ＩＣＴ）</t>
  </si>
  <si>
    <t>保守点検　付帯構造物設置工（ＩＣＴ）</t>
  </si>
  <si>
    <t>保守点検　地盤改良工　スラリー撹拌工（ＩＣＴ）</t>
  </si>
  <si>
    <t>保守点検　切削オーバーレイ工（ＩＣＴ）</t>
  </si>
  <si>
    <t>　（５）工事における工期の延長等に伴う
　　　　増加費用
　　　　（率項目+積上げ項目）</t>
    <rPh sb="4" eb="6">
      <t>コウジ</t>
    </rPh>
    <rPh sb="10" eb="12">
      <t>コウキ</t>
    </rPh>
    <rPh sb="13" eb="15">
      <t>エンチョウ</t>
    </rPh>
    <rPh sb="15" eb="16">
      <t>トウ</t>
    </rPh>
    <rPh sb="17" eb="18">
      <t>トモナ</t>
    </rPh>
    <rPh sb="24" eb="26">
      <t>ゾウカ</t>
    </rPh>
    <rPh sb="26" eb="28">
      <t>ヒヨウ</t>
    </rPh>
    <phoneticPr fontId="5"/>
  </si>
  <si>
    <t>感染対策</t>
    <rPh sb="0" eb="2">
      <t>カンセン</t>
    </rPh>
    <rPh sb="2" eb="4">
      <t>タイサク</t>
    </rPh>
    <phoneticPr fontId="5"/>
  </si>
  <si>
    <t>団体コード</t>
    <rPh sb="0" eb="2">
      <t>ダンタイ</t>
    </rPh>
    <phoneticPr fontId="5"/>
  </si>
  <si>
    <t>都道府県名
（漢字）</t>
    <rPh sb="0" eb="4">
      <t>トドウフケン</t>
    </rPh>
    <rPh sb="4" eb="5">
      <t>メイ</t>
    </rPh>
    <rPh sb="7" eb="9">
      <t>カンジ</t>
    </rPh>
    <phoneticPr fontId="5"/>
  </si>
  <si>
    <t>市区町村名
（漢字）</t>
    <rPh sb="0" eb="2">
      <t>シク</t>
    </rPh>
    <rPh sb="2" eb="4">
      <t>チョウソン</t>
    </rPh>
    <rPh sb="4" eb="5">
      <t>メイ</t>
    </rPh>
    <rPh sb="7" eb="9">
      <t>カンジ</t>
    </rPh>
    <phoneticPr fontId="5"/>
  </si>
  <si>
    <t>012033</t>
  </si>
  <si>
    <t>小樽市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</si>
  <si>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</si>
  <si>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</si>
  <si>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</si>
  <si>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</si>
  <si>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</si>
  <si>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</si>
  <si>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</si>
  <si>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</si>
  <si>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</si>
  <si>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</si>
  <si>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</si>
  <si>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</si>
  <si>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</si>
  <si>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</si>
  <si>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</si>
  <si>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</si>
  <si>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</si>
  <si>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</si>
  <si>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</si>
  <si>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</si>
  <si>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</si>
  <si>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</si>
  <si>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</si>
  <si>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</si>
  <si>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</si>
  <si>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</si>
  <si>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</si>
  <si>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</si>
  <si>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</si>
  <si>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</si>
  <si>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</si>
  <si>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</si>
  <si>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</si>
  <si>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</si>
  <si>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</si>
  <si>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</si>
  <si>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</si>
  <si>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</si>
  <si>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</si>
  <si>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</si>
  <si>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</si>
  <si>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</si>
  <si>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</si>
  <si>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</si>
  <si>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</si>
  <si>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</si>
  <si>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</si>
  <si>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</si>
  <si>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</si>
  <si>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</si>
  <si>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</si>
  <si>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</si>
  <si>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</si>
  <si>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</si>
  <si>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</si>
  <si>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</si>
  <si>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</si>
  <si>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</si>
  <si>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</si>
  <si>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</si>
  <si>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</si>
  <si>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</si>
  <si>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</si>
  <si>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</si>
  <si>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</si>
  <si>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</si>
  <si>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</si>
  <si>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</si>
  <si>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</si>
  <si>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</si>
  <si>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</si>
  <si>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</si>
  <si>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</si>
  <si>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</si>
  <si>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</si>
  <si>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</si>
  <si>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</si>
  <si>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</si>
  <si>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</si>
  <si>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</si>
  <si>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</si>
  <si>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</si>
  <si>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</si>
  <si>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</si>
  <si>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</si>
  <si>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</si>
  <si>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</si>
  <si>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</si>
  <si>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</si>
  <si>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</si>
  <si>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</si>
  <si>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</si>
  <si>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</si>
  <si>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</si>
  <si>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</si>
  <si>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</si>
  <si>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</si>
  <si>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</si>
  <si>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</si>
  <si>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</si>
  <si>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</si>
  <si>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</si>
  <si>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</si>
  <si>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</si>
  <si>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</si>
  <si>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</si>
  <si>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</si>
  <si>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</si>
  <si>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</si>
  <si>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</si>
  <si>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</si>
  <si>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</si>
  <si>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</si>
  <si>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</si>
  <si>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</si>
  <si>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</si>
  <si>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</si>
  <si>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</si>
  <si>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</si>
  <si>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</si>
  <si>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</si>
  <si>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</si>
  <si>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</si>
  <si>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</si>
  <si>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</si>
  <si>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</si>
  <si>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</si>
  <si>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</si>
  <si>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</si>
  <si>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</si>
  <si>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</si>
  <si>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</si>
  <si>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</si>
  <si>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</si>
  <si>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</si>
  <si>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</si>
  <si>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</si>
  <si>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</si>
  <si>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</si>
  <si>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</si>
  <si>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</si>
  <si>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</si>
  <si>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</si>
  <si>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</si>
  <si>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</si>
  <si>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</si>
  <si>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</si>
  <si>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</si>
  <si>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</si>
  <si>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</si>
  <si>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</si>
  <si>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</si>
  <si>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</si>
  <si>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</si>
  <si>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</si>
  <si>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</si>
  <si>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</si>
  <si>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</si>
  <si>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</si>
  <si>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</si>
  <si>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</si>
  <si>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</si>
  <si>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</si>
  <si>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</si>
  <si>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</si>
  <si>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</si>
  <si>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</si>
  <si>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</si>
  <si>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</si>
  <si>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</si>
  <si>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</si>
  <si>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</si>
  <si>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</si>
  <si>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</si>
  <si>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</si>
  <si>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</si>
  <si>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</si>
  <si>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</si>
  <si>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</si>
  <si>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</si>
  <si>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</si>
  <si>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</si>
  <si>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</si>
  <si>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</si>
  <si>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</si>
  <si>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</si>
  <si>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</si>
  <si>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</si>
  <si>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</si>
  <si>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</si>
  <si>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</si>
  <si>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</si>
  <si>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</si>
  <si>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</si>
  <si>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</si>
  <si>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</si>
  <si>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</si>
  <si>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</si>
  <si>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</si>
  <si>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</si>
  <si>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</si>
  <si>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</si>
  <si>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</si>
  <si>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</si>
  <si>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</si>
  <si>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</si>
  <si>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</si>
  <si>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</si>
  <si>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</si>
  <si>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</si>
  <si>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</si>
  <si>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</si>
  <si>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</si>
  <si>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</si>
  <si>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</si>
  <si>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</si>
  <si>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</si>
  <si>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</si>
  <si>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</si>
  <si>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</si>
  <si>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</si>
  <si>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</si>
  <si>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</si>
  <si>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</si>
  <si>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</si>
  <si>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</si>
  <si>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</si>
  <si>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</si>
  <si>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</si>
  <si>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</si>
  <si>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</si>
  <si>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</si>
  <si>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</si>
  <si>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</si>
  <si>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</si>
  <si>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</si>
  <si>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</si>
  <si>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</si>
  <si>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</si>
  <si>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</si>
  <si>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</si>
  <si>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</si>
  <si>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</si>
  <si>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</si>
  <si>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</si>
  <si>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</si>
  <si>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</si>
  <si>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</si>
  <si>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</si>
  <si>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</si>
  <si>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</si>
  <si>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</si>
  <si>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</si>
  <si>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</si>
  <si>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</si>
  <si>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</si>
  <si>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</si>
  <si>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</si>
  <si>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</si>
  <si>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</si>
  <si>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</si>
  <si>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</si>
  <si>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</si>
  <si>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</si>
  <si>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</si>
  <si>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</si>
  <si>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</si>
  <si>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</si>
  <si>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</si>
  <si>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</si>
  <si>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</si>
  <si>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</si>
  <si>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</si>
  <si>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</si>
  <si>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</si>
  <si>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</si>
  <si>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</si>
  <si>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</si>
  <si>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</si>
  <si>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</si>
  <si>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</si>
  <si>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</si>
  <si>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</si>
  <si>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</si>
  <si>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</si>
  <si>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</si>
  <si>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</si>
  <si>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</si>
  <si>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</si>
  <si>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</si>
  <si>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</si>
  <si>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</si>
  <si>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</si>
  <si>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</si>
  <si>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</si>
  <si>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</si>
  <si>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</si>
  <si>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</si>
  <si>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</si>
  <si>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</si>
  <si>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</si>
  <si>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</si>
  <si>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</si>
  <si>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</si>
  <si>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</si>
  <si>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</si>
  <si>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</si>
  <si>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</si>
  <si>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</si>
  <si>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</si>
  <si>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</si>
  <si>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</si>
  <si>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</si>
  <si>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</si>
  <si>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</si>
  <si>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</si>
  <si>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</si>
  <si>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</si>
  <si>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</si>
  <si>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</si>
  <si>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</si>
  <si>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</si>
  <si>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</si>
  <si>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</si>
  <si>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</si>
  <si>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</si>
  <si>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</si>
  <si>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</si>
  <si>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</si>
  <si>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</si>
  <si>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</si>
  <si>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</si>
  <si>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</si>
  <si>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</si>
  <si>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</si>
  <si>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</si>
  <si>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</si>
  <si>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</si>
  <si>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</si>
  <si>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</si>
  <si>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</si>
  <si>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</si>
  <si>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</si>
  <si>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</si>
  <si>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</si>
  <si>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</si>
  <si>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</si>
  <si>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</si>
  <si>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</si>
  <si>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022021</t>
  </si>
  <si>
    <t>弘前市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</si>
  <si>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</si>
  <si>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</si>
  <si>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</si>
  <si>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</si>
  <si>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</si>
  <si>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</si>
  <si>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</si>
  <si>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</si>
  <si>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</si>
  <si>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</si>
  <si>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</si>
  <si>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</si>
  <si>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</si>
  <si>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</si>
  <si>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</si>
  <si>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</si>
  <si>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</si>
  <si>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</si>
  <si>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</si>
  <si>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</si>
  <si>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</si>
  <si>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</si>
  <si>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</si>
  <si>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</si>
  <si>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</si>
  <si>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</si>
  <si>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</si>
  <si>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</si>
  <si>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</si>
  <si>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</si>
  <si>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</si>
  <si>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</si>
  <si>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</si>
  <si>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</si>
  <si>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</si>
  <si>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</si>
  <si>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</si>
  <si>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</si>
  <si>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</si>
  <si>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</si>
  <si>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</si>
  <si>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</si>
  <si>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</si>
  <si>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</si>
  <si>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</si>
  <si>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</si>
  <si>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</si>
  <si>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</si>
  <si>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</si>
  <si>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</si>
  <si>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</si>
  <si>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</si>
  <si>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</si>
  <si>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</si>
  <si>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</si>
  <si>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</si>
  <si>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</si>
  <si>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</si>
  <si>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</si>
  <si>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</si>
  <si>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</si>
  <si>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</si>
  <si>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</si>
  <si>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</si>
  <si>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</si>
  <si>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</si>
  <si>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</si>
  <si>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</si>
  <si>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</si>
  <si>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</si>
  <si>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</si>
  <si>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</si>
  <si>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</si>
  <si>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</si>
  <si>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</si>
  <si>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</si>
  <si>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</si>
  <si>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</si>
  <si>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</si>
  <si>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</si>
  <si>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</si>
  <si>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</si>
  <si>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</si>
  <si>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</si>
  <si>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</si>
  <si>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</si>
  <si>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</si>
  <si>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</si>
  <si>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</si>
  <si>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</si>
  <si>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</si>
  <si>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</si>
  <si>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</si>
  <si>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</si>
  <si>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</si>
  <si>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</si>
  <si>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</si>
  <si>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</si>
  <si>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5"/>
  </si>
  <si>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</si>
  <si>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</si>
  <si>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</si>
  <si>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</si>
  <si>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</si>
  <si>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</si>
  <si>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</si>
  <si>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</si>
  <si>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</si>
  <si>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</si>
  <si>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</si>
  <si>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</si>
  <si>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</si>
  <si>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</si>
  <si>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</si>
  <si>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</si>
  <si>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</si>
  <si>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</si>
  <si>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</si>
  <si>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</si>
  <si>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</si>
  <si>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</si>
  <si>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</si>
  <si>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</si>
  <si>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</si>
  <si>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</si>
  <si>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</si>
  <si>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</si>
  <si>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</si>
  <si>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</si>
  <si>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</si>
  <si>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</si>
  <si>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</si>
  <si>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</si>
  <si>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</si>
  <si>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</si>
  <si>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</si>
  <si>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</si>
  <si>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宮城県</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</si>
  <si>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</si>
  <si>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</si>
  <si>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</si>
  <si>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</si>
  <si>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</si>
  <si>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</si>
  <si>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</si>
  <si>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</si>
  <si>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</si>
  <si>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</si>
  <si>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</si>
  <si>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</si>
  <si>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</si>
  <si>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</si>
  <si>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</si>
  <si>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</si>
  <si>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</si>
  <si>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</si>
  <si>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</si>
  <si>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</si>
  <si>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</si>
  <si>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</si>
  <si>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</si>
  <si>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</si>
  <si>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富谷市</t>
    <rPh sb="2" eb="3">
      <t>シ</t>
    </rPh>
    <phoneticPr fontId="5"/>
  </si>
  <si>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</si>
  <si>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</si>
  <si>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</si>
  <si>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</si>
  <si>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</si>
  <si>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</si>
  <si>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</si>
  <si>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</si>
  <si>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</si>
  <si>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</si>
  <si>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</si>
  <si>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</si>
  <si>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</si>
  <si>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</si>
  <si>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</si>
  <si>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</si>
  <si>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</si>
  <si>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</si>
  <si>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</si>
  <si>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</si>
  <si>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</si>
  <si>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</si>
  <si>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</si>
  <si>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</si>
  <si>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</si>
  <si>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</si>
  <si>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</si>
  <si>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</si>
  <si>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</si>
  <si>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</si>
  <si>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</si>
  <si>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</si>
  <si>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</si>
  <si>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</si>
  <si>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</si>
  <si>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</si>
  <si>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</si>
  <si>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</si>
  <si>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</si>
  <si>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</si>
  <si>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</si>
  <si>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</si>
  <si>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</si>
  <si>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</si>
  <si>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</si>
  <si>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</si>
  <si>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</si>
  <si>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</si>
  <si>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</si>
  <si>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</si>
  <si>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</si>
  <si>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</si>
  <si>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</si>
  <si>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</si>
  <si>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</si>
  <si>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</si>
  <si>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</si>
  <si>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</si>
  <si>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</si>
  <si>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</si>
  <si>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</si>
  <si>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</si>
  <si>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</si>
  <si>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</si>
  <si>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</si>
  <si>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</si>
  <si>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</si>
  <si>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</si>
  <si>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</si>
  <si>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</si>
  <si>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</si>
  <si>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</si>
  <si>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</si>
  <si>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</si>
  <si>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</si>
  <si>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</si>
  <si>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</si>
  <si>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</si>
  <si>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</si>
  <si>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</si>
  <si>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</si>
  <si>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</si>
  <si>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</si>
  <si>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</si>
  <si>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</si>
  <si>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</si>
  <si>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</si>
  <si>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</si>
  <si>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</si>
  <si>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</si>
  <si>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</si>
  <si>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</si>
  <si>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</si>
  <si>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</si>
  <si>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</si>
  <si>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</si>
  <si>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</si>
  <si>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</si>
  <si>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</si>
  <si>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</si>
  <si>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</si>
  <si>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</si>
  <si>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</si>
  <si>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</si>
  <si>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</si>
  <si>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</si>
  <si>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</si>
  <si>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</si>
  <si>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</si>
  <si>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</si>
  <si>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</si>
  <si>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</si>
  <si>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</si>
  <si>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</si>
  <si>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</si>
  <si>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</si>
  <si>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</si>
  <si>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</si>
  <si>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</si>
  <si>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</si>
  <si>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</si>
  <si>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</si>
  <si>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</si>
  <si>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</si>
  <si>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</si>
  <si>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</si>
  <si>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</si>
  <si>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</si>
  <si>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</si>
  <si>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</si>
  <si>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</si>
  <si>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</si>
  <si>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</si>
  <si>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</si>
  <si>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</si>
  <si>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</si>
  <si>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</si>
  <si>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</si>
  <si>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</si>
  <si>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</si>
  <si>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</si>
  <si>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</si>
  <si>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</si>
  <si>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</si>
  <si>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</si>
  <si>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</si>
  <si>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</si>
  <si>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</si>
  <si>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</si>
  <si>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</si>
  <si>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</si>
  <si>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</si>
  <si>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</si>
  <si>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</si>
  <si>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</si>
  <si>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</si>
  <si>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</si>
  <si>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</si>
  <si>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福島市</t>
  </si>
  <si>
    <t>072028</t>
  </si>
  <si>
    <t>会津若松市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</si>
  <si>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</si>
  <si>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</si>
  <si>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</si>
  <si>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</si>
  <si>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</si>
  <si>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</si>
  <si>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</si>
  <si>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</si>
  <si>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</si>
  <si>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</si>
  <si>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</si>
  <si>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</si>
  <si>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</si>
  <si>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</si>
  <si>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</si>
  <si>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</si>
  <si>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</si>
  <si>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</si>
  <si>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</si>
  <si>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</si>
  <si>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</si>
  <si>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</si>
  <si>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</si>
  <si>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</si>
  <si>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</si>
  <si>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</si>
  <si>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</si>
  <si>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</si>
  <si>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</si>
  <si>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</si>
  <si>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</si>
  <si>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</si>
  <si>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</si>
  <si>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</si>
  <si>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</si>
  <si>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</si>
  <si>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</si>
  <si>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</si>
  <si>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</si>
  <si>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</si>
  <si>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</si>
  <si>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</si>
  <si>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</si>
  <si>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</si>
  <si>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</si>
  <si>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</si>
  <si>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</si>
  <si>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</si>
  <si>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</si>
  <si>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</si>
  <si>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</si>
  <si>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</si>
  <si>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</si>
  <si>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</si>
  <si>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</si>
  <si>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</si>
  <si>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</si>
  <si>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</si>
  <si>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</si>
  <si>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</si>
  <si>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</si>
  <si>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</si>
  <si>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</si>
  <si>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</si>
  <si>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</si>
  <si>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</si>
  <si>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</si>
  <si>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</si>
  <si>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</si>
  <si>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</si>
  <si>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</si>
  <si>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</si>
  <si>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</si>
  <si>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</si>
  <si>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</si>
  <si>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</si>
  <si>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</si>
  <si>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</si>
  <si>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</si>
  <si>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</si>
  <si>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</si>
  <si>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</si>
  <si>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</si>
  <si>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</si>
  <si>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</si>
  <si>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</si>
  <si>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</si>
  <si>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</si>
  <si>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</si>
  <si>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</si>
  <si>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</si>
  <si>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</si>
  <si>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</si>
  <si>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</si>
  <si>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</si>
  <si>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</si>
  <si>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</si>
  <si>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</si>
  <si>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</si>
  <si>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</si>
  <si>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</si>
  <si>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</si>
  <si>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</si>
  <si>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</si>
  <si>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</si>
  <si>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</si>
  <si>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</si>
  <si>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</si>
  <si>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</si>
  <si>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</si>
  <si>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</si>
  <si>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</si>
  <si>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</si>
  <si>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</si>
  <si>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</si>
  <si>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</si>
  <si>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</si>
  <si>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</si>
  <si>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</si>
  <si>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</si>
  <si>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</si>
  <si>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</si>
  <si>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</si>
  <si>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</si>
  <si>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</si>
  <si>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</si>
  <si>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</si>
  <si>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</si>
  <si>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</si>
  <si>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</si>
  <si>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</si>
  <si>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</si>
  <si>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</si>
  <si>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</si>
  <si>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</si>
  <si>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</si>
  <si>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</si>
  <si>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</si>
  <si>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</si>
  <si>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</si>
  <si>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</si>
  <si>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</si>
  <si>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</si>
  <si>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</si>
  <si>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</si>
  <si>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</si>
  <si>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</si>
  <si>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</si>
  <si>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</si>
  <si>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</si>
  <si>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</si>
  <si>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</si>
  <si>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</si>
  <si>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</si>
  <si>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</si>
  <si>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</si>
  <si>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</si>
  <si>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</si>
  <si>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</si>
  <si>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</si>
  <si>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</si>
  <si>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</si>
  <si>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</si>
  <si>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</si>
  <si>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</si>
  <si>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</si>
  <si>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</si>
  <si>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</si>
  <si>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</si>
  <si>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</si>
  <si>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</si>
  <si>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</si>
  <si>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</si>
  <si>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</si>
  <si>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</si>
  <si>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</si>
  <si>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</si>
  <si>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</si>
  <si>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</si>
  <si>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</si>
  <si>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</si>
  <si>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</si>
  <si>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</si>
  <si>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</si>
  <si>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</si>
  <si>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</si>
  <si>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</si>
  <si>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</si>
  <si>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</si>
  <si>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</si>
  <si>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</si>
  <si>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</si>
  <si>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</si>
  <si>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</si>
  <si>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</si>
  <si>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</si>
  <si>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</si>
  <si>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</si>
  <si>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</si>
  <si>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</si>
  <si>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</si>
  <si>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</si>
  <si>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</si>
  <si>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</si>
  <si>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</si>
  <si>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</si>
  <si>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</si>
  <si>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</si>
  <si>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</si>
  <si>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</si>
  <si>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</si>
  <si>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</si>
  <si>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</si>
  <si>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</si>
  <si>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</si>
  <si>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</si>
  <si>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</si>
  <si>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</si>
  <si>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</si>
  <si>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</si>
  <si>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</si>
  <si>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</si>
  <si>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</si>
  <si>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</si>
  <si>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</si>
  <si>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</si>
  <si>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</si>
  <si>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</si>
  <si>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</si>
  <si>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</si>
  <si>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</si>
  <si>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</si>
  <si>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</si>
  <si>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</si>
  <si>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</si>
  <si>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</si>
  <si>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</si>
  <si>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</si>
  <si>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</si>
  <si>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</si>
  <si>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102032</t>
  </si>
  <si>
    <t>桐生市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</si>
  <si>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</si>
  <si>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</si>
  <si>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</si>
  <si>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</si>
  <si>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</si>
  <si>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</si>
  <si>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</si>
  <si>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</si>
  <si>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</si>
  <si>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</si>
  <si>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</si>
  <si>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</si>
  <si>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</si>
  <si>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</si>
  <si>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</si>
  <si>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</si>
  <si>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</si>
  <si>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</si>
  <si>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</si>
  <si>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</si>
  <si>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</si>
  <si>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</si>
  <si>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</si>
  <si>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</si>
  <si>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</si>
  <si>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</si>
  <si>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</si>
  <si>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</si>
  <si>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</si>
  <si>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</si>
  <si>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</si>
  <si>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</si>
  <si>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</si>
  <si>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</si>
  <si>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</si>
  <si>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</si>
  <si>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</si>
  <si>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</si>
  <si>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</si>
  <si>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</si>
  <si>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</si>
  <si>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</si>
  <si>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</si>
  <si>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</si>
  <si>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</si>
  <si>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</si>
  <si>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</si>
  <si>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</si>
  <si>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</si>
  <si>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</si>
  <si>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</si>
  <si>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</si>
  <si>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</si>
  <si>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</si>
  <si>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</si>
  <si>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</si>
  <si>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</si>
  <si>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</si>
  <si>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</si>
  <si>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川口市</t>
  </si>
  <si>
    <t>112062</t>
  </si>
  <si>
    <t>行田市</t>
  </si>
  <si>
    <t>112071</t>
  </si>
  <si>
    <t>秩父市</t>
  </si>
  <si>
    <t>112097</t>
  </si>
  <si>
    <t>飯能市</t>
  </si>
  <si>
    <t>112101</t>
  </si>
  <si>
    <t>加須市</t>
  </si>
  <si>
    <t>112119</t>
  </si>
  <si>
    <t>本庄市</t>
  </si>
  <si>
    <t>112127</t>
  </si>
  <si>
    <t>東松山市</t>
  </si>
  <si>
    <t>112151</t>
  </si>
  <si>
    <t>狭山市</t>
  </si>
  <si>
    <t>112160</t>
  </si>
  <si>
    <t>羽生市</t>
  </si>
  <si>
    <t>112178</t>
  </si>
  <si>
    <t>鴻巣市</t>
  </si>
  <si>
    <t>112186</t>
  </si>
  <si>
    <t>深谷市</t>
  </si>
  <si>
    <t>112194</t>
  </si>
  <si>
    <t>上尾市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</si>
  <si>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</si>
  <si>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</si>
  <si>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</si>
  <si>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</si>
  <si>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</si>
  <si>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</si>
  <si>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</si>
  <si>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</si>
  <si>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</si>
  <si>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</si>
  <si>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</si>
  <si>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</si>
  <si>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</si>
  <si>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</si>
  <si>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</si>
  <si>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</si>
  <si>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</si>
  <si>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</si>
  <si>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</si>
  <si>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</si>
  <si>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</si>
  <si>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</si>
  <si>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</si>
  <si>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</si>
  <si>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</si>
  <si>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</si>
  <si>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</si>
  <si>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</si>
  <si>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</si>
  <si>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</si>
  <si>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</si>
  <si>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</si>
  <si>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</si>
  <si>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</si>
  <si>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</si>
  <si>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</si>
  <si>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</si>
  <si>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</si>
  <si>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</si>
  <si>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</si>
  <si>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白岡市</t>
    <rPh sb="0" eb="2">
      <t>シラオカ</t>
    </rPh>
    <rPh sb="2" eb="3">
      <t>シ</t>
    </rPh>
    <phoneticPr fontId="5"/>
  </si>
  <si>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</si>
  <si>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</si>
  <si>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</si>
  <si>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</si>
  <si>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</si>
  <si>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</si>
  <si>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</si>
  <si>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</si>
  <si>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</si>
  <si>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</si>
  <si>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</si>
  <si>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</si>
  <si>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</si>
  <si>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</si>
  <si>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</si>
  <si>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</si>
  <si>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</si>
  <si>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</si>
  <si>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</si>
  <si>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</si>
  <si>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</si>
  <si>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</si>
  <si>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</si>
  <si>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</si>
  <si>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</si>
  <si>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</si>
  <si>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</si>
  <si>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</si>
  <si>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</si>
  <si>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</si>
  <si>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</si>
  <si>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</si>
  <si>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</si>
  <si>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</si>
  <si>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</si>
  <si>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</si>
  <si>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</si>
  <si>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</si>
  <si>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</si>
  <si>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</si>
  <si>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</si>
  <si>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</si>
  <si>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</si>
  <si>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</si>
  <si>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</si>
  <si>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122025</t>
  </si>
  <si>
    <t>銚子市</t>
  </si>
  <si>
    <t>122033</t>
  </si>
  <si>
    <t>市川市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</si>
  <si>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</si>
  <si>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</si>
  <si>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</si>
  <si>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</si>
  <si>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</si>
  <si>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</si>
  <si>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</si>
  <si>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</si>
  <si>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</si>
  <si>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</si>
  <si>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</si>
  <si>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</si>
  <si>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</si>
  <si>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</si>
  <si>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</si>
  <si>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</si>
  <si>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</si>
  <si>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</si>
  <si>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</si>
  <si>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</si>
  <si>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</si>
  <si>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</si>
  <si>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</si>
  <si>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</si>
  <si>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</si>
  <si>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</si>
  <si>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</si>
  <si>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</si>
  <si>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</si>
  <si>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</si>
  <si>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</si>
  <si>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</si>
  <si>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</si>
  <si>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</si>
  <si>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</si>
  <si>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</si>
  <si>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</si>
  <si>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</si>
  <si>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</si>
  <si>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</si>
  <si>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</si>
  <si>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</si>
  <si>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</si>
  <si>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</si>
  <si>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</si>
  <si>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</si>
  <si>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</si>
  <si>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</si>
  <si>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</si>
  <si>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</si>
  <si>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</si>
  <si>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</si>
  <si>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</si>
  <si>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</si>
  <si>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</si>
  <si>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</si>
  <si>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</si>
  <si>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</si>
  <si>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</si>
  <si>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</si>
  <si>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</si>
  <si>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</si>
  <si>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5"/>
  </si>
  <si>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</si>
  <si>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</si>
  <si>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</si>
  <si>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</si>
  <si>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</si>
  <si>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</si>
  <si>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</si>
  <si>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</si>
  <si>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</si>
  <si>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</si>
  <si>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</si>
  <si>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</si>
  <si>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</si>
  <si>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</si>
  <si>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</si>
  <si>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</si>
  <si>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</si>
  <si>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</si>
  <si>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</si>
  <si>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</si>
  <si>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</si>
  <si>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</si>
  <si>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</si>
  <si>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</si>
  <si>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</si>
  <si>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</si>
  <si>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</si>
  <si>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</si>
  <si>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</si>
  <si>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</si>
  <si>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</si>
  <si>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</si>
  <si>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</si>
  <si>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</si>
  <si>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東京都</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</si>
  <si>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</si>
  <si>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</si>
  <si>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</si>
  <si>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</si>
  <si>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</si>
  <si>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</si>
  <si>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</si>
  <si>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</si>
  <si>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</si>
  <si>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</si>
  <si>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</si>
  <si>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</si>
  <si>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</si>
  <si>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</si>
  <si>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</si>
  <si>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</si>
  <si>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</si>
  <si>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</si>
  <si>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</si>
  <si>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</si>
  <si>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</si>
  <si>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</si>
  <si>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</si>
  <si>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</si>
  <si>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</si>
  <si>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</si>
  <si>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</si>
  <si>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</si>
  <si>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</si>
  <si>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</si>
  <si>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</si>
  <si>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</si>
  <si>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</si>
  <si>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</si>
  <si>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</si>
  <si>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</si>
  <si>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</si>
  <si>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</si>
  <si>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</si>
  <si>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</si>
  <si>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</si>
  <si>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</si>
  <si>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</si>
  <si>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</si>
  <si>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</si>
  <si>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</si>
  <si>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</si>
  <si>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</si>
  <si>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</si>
  <si>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</si>
  <si>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</si>
  <si>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</si>
  <si>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</si>
  <si>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</si>
  <si>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</si>
  <si>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</si>
  <si>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</si>
  <si>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</si>
  <si>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</si>
  <si>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</si>
  <si>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</si>
  <si>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</si>
  <si>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</si>
  <si>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</si>
  <si>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</si>
  <si>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</si>
  <si>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</si>
  <si>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</si>
  <si>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</si>
  <si>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</si>
  <si>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</si>
  <si>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</si>
  <si>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</si>
  <si>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</si>
  <si>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</si>
  <si>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</si>
  <si>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142042</t>
  </si>
  <si>
    <t>鎌倉市</t>
  </si>
  <si>
    <t>142051</t>
  </si>
  <si>
    <t>藤沢市</t>
  </si>
  <si>
    <t>142085</t>
  </si>
  <si>
    <t>逗子市</t>
  </si>
  <si>
    <t>142107</t>
  </si>
  <si>
    <t>三浦市</t>
  </si>
  <si>
    <t>142115</t>
  </si>
  <si>
    <t>秦野市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</si>
  <si>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</si>
  <si>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</si>
  <si>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</si>
  <si>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</si>
  <si>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</si>
  <si>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</si>
  <si>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</si>
  <si>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</si>
  <si>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</si>
  <si>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</si>
  <si>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</si>
  <si>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</si>
  <si>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</si>
  <si>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</si>
  <si>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</si>
  <si>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</si>
  <si>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</si>
  <si>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</si>
  <si>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</si>
  <si>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</si>
  <si>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</si>
  <si>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</si>
  <si>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</si>
  <si>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</si>
  <si>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</si>
  <si>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</si>
  <si>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</si>
  <si>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</si>
  <si>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</si>
  <si>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</si>
  <si>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</si>
  <si>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</si>
  <si>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</si>
  <si>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</si>
  <si>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</si>
  <si>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</si>
  <si>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</si>
  <si>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</si>
  <si>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</si>
  <si>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</si>
  <si>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</si>
  <si>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</si>
  <si>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</si>
  <si>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</si>
  <si>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</si>
  <si>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</si>
  <si>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</si>
  <si>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</si>
  <si>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</si>
  <si>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</si>
  <si>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</si>
  <si>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</si>
  <si>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</si>
  <si>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</si>
  <si>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</si>
  <si>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</si>
  <si>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</si>
  <si>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</si>
  <si>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</si>
  <si>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</si>
  <si>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</si>
  <si>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</si>
  <si>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</si>
  <si>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</si>
  <si>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</si>
  <si>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</si>
  <si>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</si>
  <si>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</si>
  <si>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</si>
  <si>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</si>
  <si>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</si>
  <si>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</si>
  <si>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</si>
  <si>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</si>
  <si>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</si>
  <si>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</si>
  <si>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</si>
  <si>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</si>
  <si>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</si>
  <si>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</si>
  <si>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</si>
  <si>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</si>
  <si>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</si>
  <si>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</si>
  <si>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</si>
  <si>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</si>
  <si>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</si>
  <si>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</si>
  <si>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</si>
  <si>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</si>
  <si>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</si>
  <si>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</si>
  <si>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</si>
  <si>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</si>
  <si>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</si>
  <si>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</si>
  <si>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</si>
  <si>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</si>
  <si>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</si>
  <si>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</si>
  <si>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</si>
  <si>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</si>
  <si>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</si>
  <si>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</si>
  <si>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</si>
  <si>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</si>
  <si>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</si>
  <si>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</si>
  <si>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</si>
  <si>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</si>
  <si>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</si>
  <si>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</si>
  <si>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</si>
  <si>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</si>
  <si>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</si>
  <si>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</si>
  <si>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</si>
  <si>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</si>
  <si>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</si>
  <si>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</si>
  <si>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</si>
  <si>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</si>
  <si>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</si>
  <si>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</si>
  <si>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</si>
  <si>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</si>
  <si>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</si>
  <si>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</si>
  <si>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</si>
  <si>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</si>
  <si>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</si>
  <si>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</si>
  <si>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</si>
  <si>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</si>
  <si>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</si>
  <si>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</si>
  <si>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</si>
  <si>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</si>
  <si>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</si>
  <si>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</si>
  <si>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</si>
  <si>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</si>
  <si>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</si>
  <si>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</si>
  <si>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</si>
  <si>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</si>
  <si>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</si>
  <si>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</si>
  <si>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</si>
  <si>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</si>
  <si>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</si>
  <si>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</si>
  <si>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</si>
  <si>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</si>
  <si>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</si>
  <si>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</si>
  <si>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</si>
  <si>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</si>
  <si>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</si>
  <si>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</si>
  <si>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</si>
  <si>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</si>
  <si>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</si>
  <si>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</si>
  <si>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</si>
  <si>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</si>
  <si>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</si>
  <si>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</si>
  <si>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</si>
  <si>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</si>
  <si>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</si>
  <si>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</si>
  <si>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</si>
  <si>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</si>
  <si>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</si>
  <si>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</si>
  <si>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</si>
  <si>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</si>
  <si>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</si>
  <si>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</si>
  <si>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</si>
  <si>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</si>
  <si>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</si>
  <si>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</si>
  <si>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</si>
  <si>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</si>
  <si>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</si>
  <si>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</si>
  <si>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</si>
  <si>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</si>
  <si>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</si>
  <si>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</si>
  <si>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</si>
  <si>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</si>
  <si>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</si>
  <si>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</si>
  <si>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</si>
  <si>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</si>
  <si>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</si>
  <si>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</si>
  <si>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</si>
  <si>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</si>
  <si>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</si>
  <si>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</si>
  <si>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</si>
  <si>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</si>
  <si>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</si>
  <si>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</si>
  <si>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</si>
  <si>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</si>
  <si>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</si>
  <si>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</si>
  <si>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</si>
  <si>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</si>
  <si>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</si>
  <si>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</si>
  <si>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</si>
  <si>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</si>
  <si>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</si>
  <si>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</si>
  <si>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</si>
  <si>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</si>
  <si>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</si>
  <si>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</si>
  <si>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</si>
  <si>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</si>
  <si>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</si>
  <si>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</si>
  <si>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</si>
  <si>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</si>
  <si>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</si>
  <si>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</si>
  <si>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</si>
  <si>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</si>
  <si>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</si>
  <si>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</si>
  <si>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</si>
  <si>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</si>
  <si>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</si>
  <si>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</si>
  <si>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</si>
  <si>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</si>
  <si>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</si>
  <si>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</si>
  <si>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</si>
  <si>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</si>
  <si>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</si>
  <si>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</si>
  <si>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</si>
  <si>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</si>
  <si>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</si>
  <si>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</si>
  <si>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</si>
  <si>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</si>
  <si>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</si>
  <si>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</si>
  <si>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</si>
  <si>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</si>
  <si>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</si>
  <si>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</si>
  <si>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</si>
  <si>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</si>
  <si>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</si>
  <si>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</si>
  <si>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</si>
  <si>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</si>
  <si>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</si>
  <si>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</si>
  <si>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</si>
  <si>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</si>
  <si>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</si>
  <si>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</si>
  <si>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</si>
  <si>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</si>
  <si>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</si>
  <si>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</si>
  <si>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</si>
  <si>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</si>
  <si>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</si>
  <si>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</si>
  <si>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</si>
  <si>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</si>
  <si>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</si>
  <si>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</si>
  <si>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</si>
  <si>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</si>
  <si>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</si>
  <si>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</si>
  <si>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</si>
  <si>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</si>
  <si>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</si>
  <si>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</si>
  <si>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</si>
  <si>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</si>
  <si>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</si>
  <si>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</si>
  <si>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</si>
  <si>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</si>
  <si>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</si>
  <si>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</si>
  <si>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</si>
  <si>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</si>
  <si>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</si>
  <si>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</si>
  <si>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</si>
  <si>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</si>
  <si>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</si>
  <si>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</si>
  <si>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</si>
  <si>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</si>
  <si>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</si>
  <si>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</si>
  <si>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</si>
  <si>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</si>
  <si>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</si>
  <si>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</si>
  <si>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</si>
  <si>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</si>
  <si>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</si>
  <si>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</si>
  <si>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</si>
  <si>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</si>
  <si>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</si>
  <si>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</si>
  <si>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</si>
  <si>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</si>
  <si>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</si>
  <si>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</si>
  <si>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</si>
  <si>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</si>
  <si>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</si>
  <si>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</si>
  <si>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</si>
  <si>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</si>
  <si>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</si>
  <si>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</si>
  <si>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</si>
  <si>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</si>
  <si>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</si>
  <si>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</si>
  <si>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</si>
  <si>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</si>
  <si>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</si>
  <si>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</si>
  <si>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</si>
  <si>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</si>
  <si>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</si>
  <si>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</si>
  <si>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</si>
  <si>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</si>
  <si>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</si>
  <si>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</si>
  <si>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</si>
  <si>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</si>
  <si>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</si>
  <si>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</si>
  <si>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</si>
  <si>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</si>
  <si>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</si>
  <si>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</si>
  <si>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</si>
  <si>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</si>
  <si>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</si>
  <si>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</si>
  <si>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</si>
  <si>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</si>
  <si>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</si>
  <si>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</si>
  <si>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</si>
  <si>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</si>
  <si>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</si>
  <si>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</si>
  <si>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</si>
  <si>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</si>
  <si>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</si>
  <si>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</si>
  <si>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</si>
  <si>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</si>
  <si>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</si>
  <si>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</si>
  <si>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</si>
  <si>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</si>
  <si>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</si>
  <si>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</si>
  <si>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</si>
  <si>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</si>
  <si>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</si>
  <si>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</si>
  <si>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</si>
  <si>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</si>
  <si>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</si>
  <si>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</si>
  <si>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</si>
  <si>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</si>
  <si>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</si>
  <si>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</si>
  <si>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</si>
  <si>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</si>
  <si>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</si>
  <si>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</si>
  <si>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</si>
  <si>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</si>
  <si>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</si>
  <si>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</si>
  <si>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</si>
  <si>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</si>
  <si>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</si>
  <si>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</si>
  <si>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</si>
  <si>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</si>
  <si>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</si>
  <si>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</si>
  <si>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</si>
  <si>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</si>
  <si>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</si>
  <si>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</si>
  <si>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</si>
  <si>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</si>
  <si>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</si>
  <si>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</si>
  <si>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</si>
  <si>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</si>
  <si>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</si>
  <si>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</si>
  <si>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</si>
  <si>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</si>
  <si>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</si>
  <si>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</si>
  <si>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</si>
  <si>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</si>
  <si>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</si>
  <si>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</si>
  <si>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</si>
  <si>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</si>
  <si>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</si>
  <si>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</si>
  <si>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</si>
  <si>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</si>
  <si>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</si>
  <si>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</si>
  <si>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</si>
  <si>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</si>
  <si>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</si>
  <si>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</si>
  <si>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</si>
  <si>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</si>
  <si>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</si>
  <si>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</si>
  <si>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</si>
  <si>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</si>
  <si>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</si>
  <si>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</si>
  <si>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</si>
  <si>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</si>
  <si>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</si>
  <si>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</si>
  <si>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</si>
  <si>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</si>
  <si>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</si>
  <si>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</si>
  <si>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</si>
  <si>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</si>
  <si>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</si>
  <si>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</si>
  <si>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</si>
  <si>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222054</t>
  </si>
  <si>
    <t>熱海市</t>
  </si>
  <si>
    <t>222062</t>
  </si>
  <si>
    <t>三島市</t>
  </si>
  <si>
    <t>222071</t>
  </si>
  <si>
    <t>富士宮市</t>
  </si>
  <si>
    <t>222089</t>
  </si>
  <si>
    <t>伊東市</t>
  </si>
  <si>
    <t>222097</t>
  </si>
  <si>
    <t>島田市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</si>
  <si>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</si>
  <si>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</si>
  <si>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</si>
  <si>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</si>
  <si>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</si>
  <si>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</si>
  <si>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</si>
  <si>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</si>
  <si>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</si>
  <si>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</si>
  <si>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</si>
  <si>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</si>
  <si>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</si>
  <si>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</si>
  <si>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</si>
  <si>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</si>
  <si>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</si>
  <si>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</si>
  <si>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</si>
  <si>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</si>
  <si>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</si>
  <si>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</si>
  <si>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</si>
  <si>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</si>
  <si>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</si>
  <si>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</si>
  <si>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</si>
  <si>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</si>
  <si>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</si>
  <si>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</si>
  <si>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</si>
  <si>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</si>
  <si>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</si>
  <si>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</si>
  <si>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</si>
  <si>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</si>
  <si>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</si>
  <si>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</si>
  <si>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</si>
  <si>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</si>
  <si>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</si>
  <si>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</si>
  <si>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</si>
  <si>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</si>
  <si>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</si>
  <si>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</si>
  <si>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</si>
  <si>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</si>
  <si>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</si>
  <si>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</si>
  <si>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232041</t>
  </si>
  <si>
    <t>瀬戸市</t>
  </si>
  <si>
    <t>232050</t>
  </si>
  <si>
    <t>半田市</t>
  </si>
  <si>
    <t>232076</t>
  </si>
  <si>
    <t>豊川市</t>
  </si>
  <si>
    <t>232084</t>
  </si>
  <si>
    <t>津島市</t>
  </si>
  <si>
    <t>232092</t>
  </si>
  <si>
    <t>碧南市</t>
  </si>
  <si>
    <t>232106</t>
  </si>
  <si>
    <t>刈谷市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</si>
  <si>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</si>
  <si>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</si>
  <si>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</si>
  <si>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</si>
  <si>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</si>
  <si>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</si>
  <si>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</si>
  <si>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</si>
  <si>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</si>
  <si>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</si>
  <si>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</si>
  <si>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</si>
  <si>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</si>
  <si>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</si>
  <si>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</si>
  <si>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</si>
  <si>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</si>
  <si>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</si>
  <si>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</si>
  <si>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</si>
  <si>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</si>
  <si>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</si>
  <si>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</si>
  <si>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</si>
  <si>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</si>
  <si>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</si>
  <si>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</si>
  <si>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</si>
  <si>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</si>
  <si>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</si>
  <si>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</si>
  <si>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</si>
  <si>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</si>
  <si>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</si>
  <si>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</si>
  <si>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</si>
  <si>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</si>
  <si>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</si>
  <si>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</si>
  <si>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</si>
  <si>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</si>
  <si>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</si>
  <si>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</si>
  <si>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</si>
  <si>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</si>
  <si>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</si>
  <si>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</si>
  <si>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</si>
  <si>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</si>
  <si>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</si>
  <si>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</si>
  <si>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</si>
  <si>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</si>
  <si>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</si>
  <si>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</si>
  <si>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</si>
  <si>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</si>
  <si>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</si>
  <si>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</si>
  <si>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</si>
  <si>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</si>
  <si>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</si>
  <si>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</si>
  <si>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</si>
  <si>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</si>
  <si>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</si>
  <si>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</si>
  <si>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</si>
  <si>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</si>
  <si>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</si>
  <si>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</si>
  <si>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</si>
  <si>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</si>
  <si>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</si>
  <si>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</si>
  <si>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</si>
  <si>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</si>
  <si>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</si>
  <si>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</si>
  <si>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</si>
  <si>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</si>
  <si>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</si>
  <si>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</si>
  <si>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</si>
  <si>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</si>
  <si>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</si>
  <si>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</si>
  <si>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</si>
  <si>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</si>
  <si>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</si>
  <si>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</si>
  <si>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</si>
  <si>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</si>
  <si>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</si>
  <si>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</si>
  <si>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</si>
  <si>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</si>
  <si>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</si>
  <si>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</si>
  <si>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</si>
  <si>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</si>
  <si>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</si>
  <si>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</si>
  <si>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</si>
  <si>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</si>
  <si>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</si>
  <si>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</si>
  <si>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</si>
  <si>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</si>
  <si>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</si>
  <si>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</si>
  <si>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</si>
  <si>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</si>
  <si>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</si>
  <si>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</si>
  <si>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</si>
  <si>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</si>
  <si>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</si>
  <si>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</si>
  <si>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</si>
  <si>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</si>
  <si>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</si>
  <si>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</si>
  <si>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</si>
  <si>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</si>
  <si>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</si>
  <si>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</si>
  <si>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</si>
  <si>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</si>
  <si>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</si>
  <si>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</si>
  <si>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</si>
  <si>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</si>
  <si>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</si>
  <si>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</si>
  <si>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</si>
  <si>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</si>
  <si>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</si>
  <si>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</si>
  <si>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</si>
  <si>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</si>
  <si>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</si>
  <si>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</si>
  <si>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</si>
  <si>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</si>
  <si>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</si>
  <si>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</si>
  <si>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</si>
  <si>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</si>
  <si>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</si>
  <si>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</si>
  <si>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</si>
  <si>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</si>
  <si>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</si>
  <si>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</si>
  <si>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</si>
  <si>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</si>
  <si>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</si>
  <si>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</si>
  <si>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</si>
  <si>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</si>
  <si>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</si>
  <si>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</si>
  <si>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</si>
  <si>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</si>
  <si>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</si>
  <si>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</si>
  <si>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</si>
  <si>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</si>
  <si>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</si>
  <si>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</si>
  <si>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</si>
  <si>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</si>
  <si>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京都府</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</si>
  <si>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</si>
  <si>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</si>
  <si>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</si>
  <si>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</si>
  <si>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</si>
  <si>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</si>
  <si>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</si>
  <si>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</si>
  <si>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</si>
  <si>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</si>
  <si>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</si>
  <si>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</si>
  <si>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</si>
  <si>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</si>
  <si>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</si>
  <si>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</si>
  <si>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</si>
  <si>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</si>
  <si>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</si>
  <si>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</si>
  <si>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</si>
  <si>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</si>
  <si>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</si>
  <si>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</si>
  <si>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</si>
  <si>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</si>
  <si>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</si>
  <si>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</si>
  <si>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</si>
  <si>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</si>
  <si>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</si>
  <si>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</si>
  <si>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</si>
  <si>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</si>
  <si>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</si>
  <si>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</si>
  <si>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</si>
  <si>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</si>
  <si>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</si>
  <si>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</si>
  <si>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</si>
  <si>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</si>
  <si>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</si>
  <si>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</si>
  <si>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</si>
  <si>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</si>
  <si>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</si>
  <si>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</si>
  <si>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</si>
  <si>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</si>
  <si>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272043</t>
  </si>
  <si>
    <t>池田市</t>
  </si>
  <si>
    <t>272060</t>
  </si>
  <si>
    <t>泉大津市</t>
  </si>
  <si>
    <t>272086</t>
  </si>
  <si>
    <t>貝塚市</t>
  </si>
  <si>
    <t>272094</t>
  </si>
  <si>
    <t>守口市</t>
  </si>
  <si>
    <t>八尾市</t>
  </si>
  <si>
    <t>272132</t>
  </si>
  <si>
    <t>泉佐野市</t>
  </si>
  <si>
    <t>272141</t>
  </si>
  <si>
    <t>富田林市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</si>
  <si>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</si>
  <si>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</si>
  <si>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</si>
  <si>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</si>
  <si>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</si>
  <si>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</si>
  <si>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</si>
  <si>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</si>
  <si>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</si>
  <si>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</si>
  <si>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</si>
  <si>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</si>
  <si>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</si>
  <si>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</si>
  <si>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</si>
  <si>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</si>
  <si>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</si>
  <si>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</si>
  <si>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</si>
  <si>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</si>
  <si>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</si>
  <si>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</si>
  <si>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</si>
  <si>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</si>
  <si>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</si>
  <si>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</si>
  <si>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</si>
  <si>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</si>
  <si>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</si>
  <si>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</si>
  <si>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</si>
  <si>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</si>
  <si>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</si>
  <si>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</si>
  <si>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</si>
  <si>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</si>
  <si>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</si>
  <si>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</si>
  <si>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</si>
  <si>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</si>
  <si>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</si>
  <si>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</si>
  <si>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</si>
  <si>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</si>
  <si>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</si>
  <si>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</si>
  <si>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</si>
  <si>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</si>
  <si>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</si>
  <si>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</si>
  <si>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</si>
  <si>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</si>
  <si>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明石市</t>
  </si>
  <si>
    <t>282057</t>
  </si>
  <si>
    <t>洲本市</t>
  </si>
  <si>
    <t>282065</t>
  </si>
  <si>
    <t>芦屋市</t>
  </si>
  <si>
    <t>282073</t>
  </si>
  <si>
    <t>伊丹市</t>
  </si>
  <si>
    <t>282081</t>
  </si>
  <si>
    <t>相生市</t>
  </si>
  <si>
    <t>282090</t>
  </si>
  <si>
    <t>豊岡市</t>
  </si>
  <si>
    <t>282120</t>
  </si>
  <si>
    <t>赤穂市</t>
  </si>
  <si>
    <t>282138</t>
  </si>
  <si>
    <t>西脇市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</si>
  <si>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</si>
  <si>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</si>
  <si>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</si>
  <si>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</si>
  <si>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</si>
  <si>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</si>
  <si>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</si>
  <si>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</si>
  <si>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</si>
  <si>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</si>
  <si>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</si>
  <si>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</si>
  <si>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</si>
  <si>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5"/>
  </si>
  <si>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</si>
  <si>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</si>
  <si>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</si>
  <si>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</si>
  <si>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</si>
  <si>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</si>
  <si>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</si>
  <si>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</si>
  <si>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</si>
  <si>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</si>
  <si>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</si>
  <si>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</si>
  <si>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</si>
  <si>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</si>
  <si>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</si>
  <si>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</si>
  <si>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</si>
  <si>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</si>
  <si>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</si>
  <si>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</si>
  <si>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</si>
  <si>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</si>
  <si>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</si>
  <si>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</si>
  <si>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</si>
  <si>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</si>
  <si>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</si>
  <si>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</si>
  <si>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</si>
  <si>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</si>
  <si>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</si>
  <si>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</si>
  <si>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</si>
  <si>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</si>
  <si>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</si>
  <si>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</si>
  <si>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</si>
  <si>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</si>
  <si>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</si>
  <si>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</si>
  <si>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</si>
  <si>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</si>
  <si>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</si>
  <si>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</si>
  <si>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</si>
  <si>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</si>
  <si>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</si>
  <si>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</si>
  <si>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</si>
  <si>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</si>
  <si>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</si>
  <si>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</si>
  <si>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</si>
  <si>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</si>
  <si>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</si>
  <si>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</si>
  <si>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</si>
  <si>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</si>
  <si>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</si>
  <si>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</si>
  <si>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</si>
  <si>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</si>
  <si>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</si>
  <si>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</si>
  <si>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</si>
  <si>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</si>
  <si>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</si>
  <si>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</si>
  <si>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</si>
  <si>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</si>
  <si>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</si>
  <si>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</si>
  <si>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</si>
  <si>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</si>
  <si>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</si>
  <si>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</si>
  <si>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</si>
  <si>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</si>
  <si>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</si>
  <si>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</si>
  <si>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</si>
  <si>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</si>
  <si>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</si>
  <si>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</si>
  <si>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</si>
  <si>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</si>
  <si>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</si>
  <si>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</si>
  <si>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</si>
  <si>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</si>
  <si>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</si>
  <si>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</si>
  <si>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</si>
  <si>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</si>
  <si>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</si>
  <si>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</si>
  <si>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</si>
  <si>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</si>
  <si>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</si>
  <si>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</si>
  <si>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</si>
  <si>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</si>
  <si>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</si>
  <si>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</si>
  <si>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</si>
  <si>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</si>
  <si>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</si>
  <si>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</si>
  <si>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</si>
  <si>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</si>
  <si>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</si>
  <si>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</si>
  <si>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</si>
  <si>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</si>
  <si>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</si>
  <si>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</si>
  <si>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</si>
  <si>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</si>
  <si>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</si>
  <si>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</si>
  <si>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</si>
  <si>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</si>
  <si>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</si>
  <si>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</si>
  <si>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</si>
  <si>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</si>
  <si>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</si>
  <si>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</si>
  <si>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</si>
  <si>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</si>
  <si>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</si>
  <si>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</si>
  <si>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</si>
  <si>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</si>
  <si>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</si>
  <si>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</si>
  <si>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</si>
  <si>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</si>
  <si>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</si>
  <si>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</si>
  <si>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</si>
  <si>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</si>
  <si>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</si>
  <si>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</si>
  <si>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</si>
  <si>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</si>
  <si>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</si>
  <si>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</si>
  <si>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</si>
  <si>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</si>
  <si>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</si>
  <si>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</si>
  <si>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</si>
  <si>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</si>
  <si>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</si>
  <si>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</si>
  <si>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</si>
  <si>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</si>
  <si>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</si>
  <si>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</si>
  <si>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</si>
  <si>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</si>
  <si>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</si>
  <si>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</si>
  <si>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</si>
  <si>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</si>
  <si>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</si>
  <si>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</si>
  <si>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</si>
  <si>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</si>
  <si>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</si>
  <si>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</si>
  <si>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</si>
  <si>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</si>
  <si>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</si>
  <si>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</si>
  <si>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</si>
  <si>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</si>
  <si>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</si>
  <si>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</si>
  <si>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</si>
  <si>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</si>
  <si>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</si>
  <si>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</si>
  <si>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</si>
  <si>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</si>
  <si>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</si>
  <si>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</si>
  <si>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</si>
  <si>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</si>
  <si>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</si>
  <si>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</si>
  <si>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</si>
  <si>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</si>
  <si>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</si>
  <si>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</si>
  <si>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</si>
  <si>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</si>
  <si>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</si>
  <si>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</si>
  <si>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</si>
  <si>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</si>
  <si>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</si>
  <si>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</si>
  <si>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</si>
  <si>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</si>
  <si>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</si>
  <si>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</si>
  <si>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</si>
  <si>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</si>
  <si>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</si>
  <si>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</si>
  <si>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</si>
  <si>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</si>
  <si>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</si>
  <si>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</si>
  <si>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</si>
  <si>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</si>
  <si>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</si>
  <si>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</si>
  <si>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</si>
  <si>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</si>
  <si>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</si>
  <si>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</si>
  <si>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</si>
  <si>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</si>
  <si>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</si>
  <si>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</si>
  <si>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</si>
  <si>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</si>
  <si>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</si>
  <si>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</si>
  <si>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</si>
  <si>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</si>
  <si>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</si>
  <si>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</si>
  <si>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</si>
  <si>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</si>
  <si>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</si>
  <si>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</si>
  <si>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</si>
  <si>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</si>
  <si>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</si>
  <si>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</si>
  <si>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</si>
  <si>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</si>
  <si>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</si>
  <si>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</si>
  <si>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</si>
  <si>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</si>
  <si>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</si>
  <si>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</si>
  <si>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</si>
  <si>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</si>
  <si>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</si>
  <si>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</si>
  <si>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</si>
  <si>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</si>
  <si>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</si>
  <si>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</si>
  <si>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</si>
  <si>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</si>
  <si>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</si>
  <si>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</si>
  <si>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</si>
  <si>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</si>
  <si>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</si>
  <si>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</si>
  <si>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</si>
  <si>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</si>
  <si>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</si>
  <si>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</si>
  <si>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</si>
  <si>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</si>
  <si>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</si>
  <si>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</si>
  <si>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</si>
  <si>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</si>
  <si>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</si>
  <si>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</si>
  <si>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</si>
  <si>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</si>
  <si>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</si>
  <si>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</si>
  <si>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</si>
  <si>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</si>
  <si>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</si>
  <si>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</si>
  <si>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</si>
  <si>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</si>
  <si>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</si>
  <si>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</si>
  <si>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342033</t>
  </si>
  <si>
    <t>竹原市</t>
  </si>
  <si>
    <t>342041</t>
  </si>
  <si>
    <t>三原市</t>
  </si>
  <si>
    <t>342050</t>
  </si>
  <si>
    <t>尾道市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</si>
  <si>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</si>
  <si>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</si>
  <si>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</si>
  <si>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</si>
  <si>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</si>
  <si>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</si>
  <si>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</si>
  <si>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</si>
  <si>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</si>
  <si>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</si>
  <si>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</si>
  <si>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</si>
  <si>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</si>
  <si>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</si>
  <si>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</si>
  <si>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</si>
  <si>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</si>
  <si>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</si>
  <si>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</si>
  <si>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</si>
  <si>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</si>
  <si>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</si>
  <si>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</si>
  <si>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</si>
  <si>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</si>
  <si>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</si>
  <si>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</si>
  <si>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</si>
  <si>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</si>
  <si>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</si>
  <si>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</si>
  <si>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</si>
  <si>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</si>
  <si>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</si>
  <si>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</si>
  <si>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</si>
  <si>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</si>
  <si>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</si>
  <si>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</si>
  <si>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</si>
  <si>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</si>
  <si>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</si>
  <si>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</si>
  <si>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</si>
  <si>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</si>
  <si>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</si>
  <si>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</si>
  <si>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</si>
  <si>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</si>
  <si>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</si>
  <si>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</si>
  <si>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</si>
  <si>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</si>
  <si>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</si>
  <si>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</si>
  <si>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</si>
  <si>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</si>
  <si>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</si>
  <si>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</si>
  <si>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</si>
  <si>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</si>
  <si>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</si>
  <si>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</si>
  <si>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</si>
  <si>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</si>
  <si>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</si>
  <si>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</si>
  <si>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</si>
  <si>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</si>
  <si>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</si>
  <si>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</si>
  <si>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</si>
  <si>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</si>
  <si>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</si>
  <si>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</si>
  <si>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</si>
  <si>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</si>
  <si>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</si>
  <si>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</si>
  <si>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</si>
  <si>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</si>
  <si>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</si>
  <si>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</si>
  <si>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</si>
  <si>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</si>
  <si>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</si>
  <si>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</si>
  <si>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</si>
  <si>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</si>
  <si>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</si>
  <si>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</si>
  <si>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</si>
  <si>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</si>
  <si>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</si>
  <si>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</si>
  <si>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</si>
  <si>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</si>
  <si>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</si>
  <si>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</si>
  <si>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</si>
  <si>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</si>
  <si>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</si>
  <si>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</si>
  <si>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</si>
  <si>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</si>
  <si>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</si>
  <si>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</si>
  <si>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</si>
  <si>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</si>
  <si>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</si>
  <si>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</si>
  <si>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</si>
  <si>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</si>
  <si>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</si>
  <si>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</si>
  <si>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</si>
  <si>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</si>
  <si>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</si>
  <si>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</si>
  <si>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</si>
  <si>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</si>
  <si>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</si>
  <si>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</si>
  <si>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</si>
  <si>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</si>
  <si>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</si>
  <si>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</si>
  <si>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</si>
  <si>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</si>
  <si>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</si>
  <si>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</si>
  <si>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</si>
  <si>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</si>
  <si>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</si>
  <si>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</si>
  <si>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</si>
  <si>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</si>
  <si>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</si>
  <si>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</si>
  <si>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</si>
  <si>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</si>
  <si>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</si>
  <si>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</si>
  <si>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</si>
  <si>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</si>
  <si>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</si>
  <si>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</si>
  <si>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</si>
  <si>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</si>
  <si>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</si>
  <si>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</si>
  <si>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</si>
  <si>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</si>
  <si>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</si>
  <si>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</si>
  <si>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</si>
  <si>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</si>
  <si>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</si>
  <si>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</si>
  <si>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</si>
  <si>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</si>
  <si>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</si>
  <si>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</si>
  <si>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</si>
  <si>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</si>
  <si>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</si>
  <si>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</si>
  <si>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</si>
  <si>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</si>
  <si>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</si>
  <si>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</si>
  <si>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</si>
  <si>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</si>
  <si>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</si>
  <si>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</si>
  <si>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</si>
  <si>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</si>
  <si>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</si>
  <si>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</si>
  <si>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</si>
  <si>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</si>
  <si>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</si>
  <si>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</si>
  <si>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</si>
  <si>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</si>
  <si>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</si>
  <si>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</si>
  <si>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</si>
  <si>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</si>
  <si>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</si>
  <si>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</si>
  <si>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</si>
  <si>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</si>
  <si>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</si>
  <si>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</si>
  <si>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</si>
  <si>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</si>
  <si>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</si>
  <si>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</si>
  <si>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</si>
  <si>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</si>
  <si>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</si>
  <si>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</si>
  <si>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</si>
  <si>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</si>
  <si>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</si>
  <si>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</si>
  <si>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</si>
  <si>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</si>
  <si>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</si>
  <si>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</si>
  <si>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</si>
  <si>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</si>
  <si>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</si>
  <si>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</si>
  <si>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</si>
  <si>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</si>
  <si>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</si>
  <si>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</si>
  <si>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</si>
  <si>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</si>
  <si>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</si>
  <si>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</si>
  <si>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</si>
  <si>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</si>
  <si>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</si>
  <si>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</si>
  <si>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</si>
  <si>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</si>
  <si>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</si>
  <si>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</si>
  <si>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</si>
  <si>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</si>
  <si>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</si>
  <si>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</si>
  <si>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</si>
  <si>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</si>
  <si>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</si>
  <si>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</si>
  <si>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</si>
  <si>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</si>
  <si>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</si>
  <si>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</si>
  <si>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</si>
  <si>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</si>
  <si>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</si>
  <si>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</si>
  <si>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</si>
  <si>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</si>
  <si>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</si>
  <si>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</si>
  <si>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</si>
  <si>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</si>
  <si>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402028</t>
  </si>
  <si>
    <t>大牟田市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</si>
  <si>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</si>
  <si>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</si>
  <si>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</si>
  <si>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</si>
  <si>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</si>
  <si>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</si>
  <si>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</si>
  <si>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</si>
  <si>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</si>
  <si>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</si>
  <si>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</si>
  <si>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</si>
  <si>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</si>
  <si>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</si>
  <si>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</si>
  <si>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</si>
  <si>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</si>
  <si>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</si>
  <si>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</si>
  <si>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</si>
  <si>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</si>
  <si>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</si>
  <si>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</si>
  <si>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</si>
  <si>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</si>
  <si>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</si>
  <si>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</si>
  <si>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</si>
  <si>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</si>
  <si>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</si>
  <si>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</si>
  <si>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</si>
  <si>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</si>
  <si>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</si>
  <si>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</si>
  <si>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</si>
  <si>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</si>
  <si>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</si>
  <si>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</si>
  <si>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</si>
  <si>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</si>
  <si>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</si>
  <si>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</si>
  <si>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</si>
  <si>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</si>
  <si>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</si>
  <si>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</si>
  <si>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</si>
  <si>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福岡県</t>
    <rPh sb="0" eb="3">
      <t>フクオカケン</t>
    </rPh>
    <phoneticPr fontId="5"/>
  </si>
  <si>
    <t>那珂川市</t>
    <rPh sb="0" eb="3">
      <t>ナカガワ</t>
    </rPh>
    <rPh sb="3" eb="4">
      <t>シ</t>
    </rPh>
    <phoneticPr fontId="5"/>
  </si>
  <si>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</si>
  <si>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</si>
  <si>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</si>
  <si>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</si>
  <si>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</si>
  <si>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</si>
  <si>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</si>
  <si>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</si>
  <si>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</si>
  <si>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</si>
  <si>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</si>
  <si>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</si>
  <si>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</si>
  <si>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</si>
  <si>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</si>
  <si>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</si>
  <si>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</si>
  <si>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</si>
  <si>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</si>
  <si>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</si>
  <si>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</si>
  <si>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</si>
  <si>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</si>
  <si>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</si>
  <si>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</si>
  <si>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</si>
  <si>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</si>
  <si>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</si>
  <si>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</si>
  <si>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</si>
  <si>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</si>
  <si>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</si>
  <si>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</si>
  <si>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</si>
  <si>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</si>
  <si>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</si>
  <si>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</si>
  <si>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</si>
  <si>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</si>
  <si>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</si>
  <si>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</si>
  <si>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</si>
  <si>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</si>
  <si>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</si>
  <si>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</si>
  <si>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</si>
  <si>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</si>
  <si>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</si>
  <si>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</si>
  <si>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</si>
  <si>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</si>
  <si>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</si>
  <si>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</si>
  <si>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</si>
  <si>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</si>
  <si>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</si>
  <si>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</si>
  <si>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</si>
  <si>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</si>
  <si>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</si>
  <si>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佐賀県</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</si>
  <si>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</si>
  <si>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</si>
  <si>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</si>
  <si>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</si>
  <si>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</si>
  <si>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</si>
  <si>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</si>
  <si>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</si>
  <si>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</si>
  <si>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</si>
  <si>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</si>
  <si>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</si>
  <si>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</si>
  <si>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</si>
  <si>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</si>
  <si>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</si>
  <si>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</si>
  <si>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</si>
  <si>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</si>
  <si>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</si>
  <si>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</si>
  <si>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</si>
  <si>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</si>
  <si>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</si>
  <si>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</si>
  <si>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</si>
  <si>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</si>
  <si>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</si>
  <si>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</si>
  <si>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</si>
  <si>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</si>
  <si>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</si>
  <si>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</si>
  <si>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</si>
  <si>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</si>
  <si>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</si>
  <si>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</si>
  <si>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</si>
  <si>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</si>
  <si>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</si>
  <si>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</si>
  <si>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</si>
  <si>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</si>
  <si>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</si>
  <si>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</si>
  <si>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</si>
  <si>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</si>
  <si>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</si>
  <si>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</si>
  <si>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</si>
  <si>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</si>
  <si>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</si>
  <si>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</si>
  <si>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</si>
  <si>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</si>
  <si>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</si>
  <si>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</si>
  <si>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</si>
  <si>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</si>
  <si>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</si>
  <si>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</si>
  <si>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</si>
  <si>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</si>
  <si>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</si>
  <si>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</si>
  <si>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</si>
  <si>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</si>
  <si>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</si>
  <si>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</si>
  <si>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</si>
  <si>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</si>
  <si>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</si>
  <si>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</si>
  <si>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</si>
  <si>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</si>
  <si>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</si>
  <si>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</si>
  <si>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</si>
  <si>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</si>
  <si>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</si>
  <si>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</si>
  <si>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</si>
  <si>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</si>
  <si>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</si>
  <si>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</si>
  <si>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</si>
  <si>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</si>
  <si>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</si>
  <si>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</si>
  <si>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</si>
  <si>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</si>
  <si>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</si>
  <si>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</si>
  <si>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</si>
  <si>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</si>
  <si>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</si>
  <si>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</si>
  <si>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</si>
  <si>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</si>
  <si>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</si>
  <si>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</si>
  <si>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</si>
  <si>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</si>
  <si>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</si>
  <si>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</si>
  <si>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</si>
  <si>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</si>
  <si>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</si>
  <si>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</si>
  <si>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</si>
  <si>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</si>
  <si>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</si>
  <si>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</si>
  <si>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</si>
  <si>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</si>
  <si>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</si>
  <si>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</si>
  <si>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</si>
  <si>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</si>
  <si>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</si>
  <si>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</si>
  <si>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</si>
  <si>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</si>
  <si>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</si>
  <si>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</si>
  <si>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</si>
  <si>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</si>
  <si>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</si>
  <si>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</si>
  <si>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</si>
  <si>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</si>
  <si>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</si>
  <si>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</si>
  <si>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</si>
  <si>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</si>
  <si>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</si>
  <si>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</si>
  <si>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</si>
  <si>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</si>
  <si>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</si>
  <si>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</si>
  <si>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</si>
  <si>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</si>
  <si>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</si>
  <si>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</si>
  <si>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</si>
  <si>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</si>
  <si>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</si>
  <si>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</si>
  <si>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</si>
  <si>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</si>
  <si>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</si>
  <si>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</si>
  <si>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</si>
  <si>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</si>
  <si>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</si>
  <si>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</si>
  <si>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</si>
  <si>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</si>
  <si>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</si>
  <si>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</si>
  <si>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</si>
  <si>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</si>
  <si>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</si>
  <si>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</si>
  <si>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</si>
  <si>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</si>
  <si>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</si>
  <si>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</si>
  <si>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</si>
  <si>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</si>
  <si>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</si>
  <si>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</si>
  <si>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</si>
  <si>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</si>
  <si>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</si>
  <si>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</si>
  <si>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</si>
  <si>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</si>
  <si>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</si>
  <si>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</si>
  <si>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</si>
  <si>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</si>
  <si>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</si>
  <si>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</si>
  <si>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</si>
  <si>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</si>
  <si>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</si>
  <si>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</si>
  <si>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</si>
  <si>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</si>
  <si>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</si>
  <si>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</si>
  <si>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</si>
  <si>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</si>
  <si>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</si>
  <si>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</si>
  <si>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</si>
  <si>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</si>
  <si>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</si>
  <si>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</si>
  <si>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</si>
  <si>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</si>
  <si>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</si>
  <si>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</si>
  <si>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</si>
  <si>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</si>
  <si>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</si>
  <si>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</si>
  <si>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</si>
  <si>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</si>
  <si>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</si>
  <si>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</si>
  <si>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</si>
  <si>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</si>
  <si>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</si>
  <si>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</si>
  <si>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</si>
  <si>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</si>
  <si>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</si>
  <si>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</si>
  <si>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</si>
  <si>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</si>
  <si>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</si>
  <si>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</si>
  <si>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</si>
  <si>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</si>
  <si>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</si>
  <si>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</si>
  <si>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</si>
  <si>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</si>
  <si>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</si>
  <si>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</si>
  <si>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</si>
  <si>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</si>
  <si>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</si>
  <si>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</si>
  <si>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</si>
  <si>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</si>
  <si>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</si>
  <si>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</si>
  <si>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</si>
  <si>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</si>
  <si>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</si>
  <si>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</si>
  <si>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</si>
  <si>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</si>
  <si>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</si>
  <si>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</si>
  <si>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</si>
  <si>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</si>
  <si>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</si>
  <si>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</si>
  <si>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</si>
  <si>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</si>
  <si>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</si>
  <si>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</si>
  <si>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</si>
  <si>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</si>
  <si>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</si>
  <si>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</si>
  <si>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</si>
  <si>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</si>
  <si>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</si>
  <si>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</si>
  <si>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</si>
  <si>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</si>
  <si>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</si>
  <si>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</si>
  <si>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</si>
  <si>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</si>
  <si>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</si>
  <si>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</si>
  <si>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</si>
  <si>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</si>
  <si>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</si>
  <si>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</si>
  <si>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</si>
  <si>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</si>
  <si>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</si>
  <si>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</si>
  <si>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</si>
  <si>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</si>
  <si>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</si>
  <si>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</si>
  <si>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</si>
  <si>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</si>
  <si>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</si>
  <si>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</si>
  <si>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</si>
  <si>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</si>
  <si>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</si>
  <si>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</si>
  <si>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</si>
  <si>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</si>
  <si>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</si>
  <si>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</si>
  <si>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</si>
  <si>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</si>
  <si>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</si>
  <si>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</si>
  <si>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</si>
  <si>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</si>
  <si>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</si>
  <si>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</si>
  <si>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</si>
  <si>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</si>
  <si>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</si>
  <si>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</si>
  <si>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</si>
  <si>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</si>
  <si>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</si>
  <si>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</si>
  <si>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</si>
  <si>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</si>
  <si>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</si>
  <si>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</si>
  <si>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</si>
  <si>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</si>
  <si>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</si>
  <si>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</si>
  <si>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</si>
  <si>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</si>
  <si>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</si>
  <si>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</si>
  <si>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</si>
  <si>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</si>
  <si>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</si>
  <si>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沖縄県</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</si>
  <si>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</si>
  <si>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</si>
  <si>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</si>
  <si>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</si>
  <si>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</si>
  <si>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</si>
  <si>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</si>
  <si>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</si>
  <si>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</si>
  <si>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</si>
  <si>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</si>
  <si>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</si>
  <si>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</si>
  <si>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</si>
  <si>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</si>
  <si>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</si>
  <si>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</si>
  <si>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</si>
  <si>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</si>
  <si>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</si>
  <si>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</si>
  <si>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</si>
  <si>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</si>
  <si>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</si>
  <si>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</si>
  <si>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</si>
  <si>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</si>
  <si>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</si>
  <si>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</si>
  <si>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</si>
  <si>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</si>
  <si>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</si>
  <si>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</si>
  <si>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</si>
  <si>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</si>
  <si>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</si>
  <si>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</si>
  <si>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</si>
  <si>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</si>
  <si>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</si>
  <si>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</si>
  <si>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</si>
  <si>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</si>
  <si>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</si>
  <si>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</si>
  <si>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</si>
  <si>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</si>
  <si>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</si>
  <si>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</si>
  <si>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</si>
  <si>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</si>
  <si>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</si>
  <si>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</si>
  <si>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</si>
  <si>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</si>
  <si>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</si>
  <si>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</si>
  <si>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</si>
  <si>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</si>
  <si>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</si>
  <si>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</si>
  <si>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</si>
  <si>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</si>
  <si>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</si>
  <si>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</si>
  <si>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</si>
  <si>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</si>
  <si>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</si>
  <si>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</si>
  <si>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</si>
  <si>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</si>
  <si>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</si>
  <si>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</si>
  <si>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</si>
  <si>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</si>
  <si>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</si>
  <si>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</si>
  <si>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</si>
  <si>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</si>
  <si>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</si>
  <si>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都道府県名</t>
    <rPh sb="0" eb="4">
      <t>トドウフケン</t>
    </rPh>
    <rPh sb="4" eb="5">
      <t>メイ</t>
    </rPh>
    <phoneticPr fontId="5"/>
  </si>
  <si>
    <t>市区町村名</t>
    <rPh sb="0" eb="5">
      <t>シクチョウソンメイ</t>
    </rPh>
    <phoneticPr fontId="5"/>
  </si>
  <si>
    <t>010006</t>
  </si>
  <si>
    <t>別海町</t>
  </si>
  <si>
    <t>020001</t>
  </si>
  <si>
    <t>030007</t>
  </si>
  <si>
    <t>032166</t>
  </si>
  <si>
    <t>040002</t>
  </si>
  <si>
    <t>042161</t>
  </si>
  <si>
    <t>050008</t>
  </si>
  <si>
    <t>060003</t>
  </si>
  <si>
    <t>070009</t>
  </si>
  <si>
    <t>080004</t>
  </si>
  <si>
    <t>090000</t>
  </si>
  <si>
    <t>100005</t>
  </si>
  <si>
    <t>110001</t>
  </si>
  <si>
    <t>112461</t>
  </si>
  <si>
    <t>120006</t>
  </si>
  <si>
    <t>122394</t>
  </si>
  <si>
    <t>130001</t>
  </si>
  <si>
    <t>140007</t>
  </si>
  <si>
    <t>150002</t>
  </si>
  <si>
    <t>160008</t>
  </si>
  <si>
    <t>170003</t>
  </si>
  <si>
    <t>180009</t>
  </si>
  <si>
    <t>190004</t>
  </si>
  <si>
    <t>200000</t>
  </si>
  <si>
    <t>210005</t>
  </si>
  <si>
    <t>220001</t>
  </si>
  <si>
    <t>230006</t>
  </si>
  <si>
    <t>240001</t>
  </si>
  <si>
    <t>250007</t>
  </si>
  <si>
    <t>260002</t>
  </si>
  <si>
    <t>270008</t>
  </si>
  <si>
    <t>280003</t>
  </si>
  <si>
    <t>290009</t>
  </si>
  <si>
    <t>300004</t>
  </si>
  <si>
    <t>310000</t>
  </si>
  <si>
    <t>320005</t>
  </si>
  <si>
    <t>330001</t>
  </si>
  <si>
    <t>340006</t>
  </si>
  <si>
    <t>350001</t>
  </si>
  <si>
    <t>360007</t>
  </si>
  <si>
    <t>370002</t>
  </si>
  <si>
    <t>380008</t>
  </si>
  <si>
    <t>390003</t>
  </si>
  <si>
    <t>400009</t>
  </si>
  <si>
    <t>402311</t>
  </si>
  <si>
    <t>410004</t>
  </si>
  <si>
    <t>420000</t>
  </si>
  <si>
    <t>430005</t>
  </si>
  <si>
    <t>440001</t>
  </si>
  <si>
    <t>450006</t>
  </si>
  <si>
    <t>460001</t>
  </si>
  <si>
    <t>470007</t>
  </si>
  <si>
    <t>都道府県名</t>
    <rPh sb="0" eb="4">
      <t>トドウフケン</t>
    </rPh>
    <rPh sb="4" eb="5">
      <t>メイ</t>
    </rPh>
    <phoneticPr fontId="69"/>
  </si>
  <si>
    <t>参照範囲</t>
    <rPh sb="0" eb="2">
      <t>サンショウ</t>
    </rPh>
    <rPh sb="2" eb="4">
      <t>ハンイ</t>
    </rPh>
    <phoneticPr fontId="69"/>
  </si>
  <si>
    <t>北海道</t>
    <phoneticPr fontId="69"/>
  </si>
  <si>
    <t>【参考】消費税の自動計算値
税率（10％）</t>
    <rPh sb="1" eb="3">
      <t>サンコウ</t>
    </rPh>
    <rPh sb="4" eb="7">
      <t>ショウヒゼイ</t>
    </rPh>
    <rPh sb="8" eb="10">
      <t>ジドウ</t>
    </rPh>
    <rPh sb="10" eb="13">
      <t>ケイサンチ</t>
    </rPh>
    <rPh sb="14" eb="16">
      <t>ゼイリツ</t>
    </rPh>
    <phoneticPr fontId="5"/>
  </si>
  <si>
    <t>墜落制止用器具（フルハーネス）費用</t>
  </si>
  <si>
    <t>レ</t>
  </si>
  <si>
    <t>ソ</t>
  </si>
  <si>
    <t>ツ</t>
  </si>
  <si>
    <t>■元請調査票データ貼り付け手順
①元請調査票のシート『まとめ』、セルB3～H220を選択
②コピー
③本シート、セルB8に「値」で貼り付け
↓赤枠貼り付け範囲</t>
    <rPh sb="1" eb="3">
      <t>モトウケ</t>
    </rPh>
    <rPh sb="17" eb="19">
      <t>モトウケ</t>
    </rPh>
    <rPh sb="19" eb="22">
      <t>チョウサヒョウ</t>
    </rPh>
    <rPh sb="42" eb="44">
      <t>センタク</t>
    </rPh>
    <rPh sb="51" eb="52">
      <t>ホン</t>
    </rPh>
    <rPh sb="62" eb="63">
      <t>アタイ</t>
    </rPh>
    <rPh sb="65" eb="66">
      <t>ハ</t>
    </rPh>
    <rPh sb="67" eb="68">
      <t>ツ</t>
    </rPh>
    <rPh sb="71" eb="72">
      <t>アカ</t>
    </rPh>
    <rPh sb="72" eb="73">
      <t>ワク</t>
    </rPh>
    <rPh sb="73" eb="74">
      <t>ハ</t>
    </rPh>
    <rPh sb="75" eb="76">
      <t>ツ</t>
    </rPh>
    <rPh sb="77" eb="79">
      <t>ハンイ</t>
    </rPh>
    <phoneticPr fontId="5"/>
  </si>
  <si>
    <t>所管名1</t>
    <rPh sb="0" eb="2">
      <t>ショカン</t>
    </rPh>
    <rPh sb="2" eb="3">
      <t>メイ</t>
    </rPh>
    <phoneticPr fontId="5"/>
  </si>
  <si>
    <t>追加</t>
    <rPh sb="0" eb="2">
      <t>ツイカ</t>
    </rPh>
    <phoneticPr fontId="5"/>
  </si>
  <si>
    <t>6：日本下水道事業団</t>
  </si>
  <si>
    <t>9：都道府県・政令指定都市(市町村等)</t>
    <rPh sb="2" eb="6">
      <t>トドウフケン</t>
    </rPh>
    <rPh sb="14" eb="15">
      <t>シ</t>
    </rPh>
    <rPh sb="15" eb="16">
      <t>マチ</t>
    </rPh>
    <rPh sb="16" eb="17">
      <t>ソン</t>
    </rPh>
    <rPh sb="17" eb="18">
      <t>ナド</t>
    </rPh>
    <phoneticPr fontId="4"/>
  </si>
  <si>
    <t>下水：日本下水道事業団</t>
  </si>
  <si>
    <t>501：北海道総合事務所</t>
    <rPh sb="4" eb="7">
      <t>ホッカイドウ</t>
    </rPh>
    <rPh sb="7" eb="9">
      <t>ソウゴウ</t>
    </rPh>
    <rPh sb="9" eb="11">
      <t>ジム</t>
    </rPh>
    <rPh sb="11" eb="12">
      <t>ショ</t>
    </rPh>
    <phoneticPr fontId="3"/>
  </si>
  <si>
    <t>502：東北総合事務所</t>
    <rPh sb="4" eb="6">
      <t>トウホク</t>
    </rPh>
    <rPh sb="6" eb="8">
      <t>ソウゴウ</t>
    </rPh>
    <rPh sb="8" eb="10">
      <t>ジム</t>
    </rPh>
    <rPh sb="10" eb="11">
      <t>ショ</t>
    </rPh>
    <phoneticPr fontId="3"/>
  </si>
  <si>
    <t>503：関東・北陸総合事務所</t>
    <rPh sb="4" eb="6">
      <t>カントウ</t>
    </rPh>
    <rPh sb="7" eb="9">
      <t>ホクリク</t>
    </rPh>
    <rPh sb="9" eb="11">
      <t>ソウゴウ</t>
    </rPh>
    <rPh sb="11" eb="13">
      <t>ジム</t>
    </rPh>
    <rPh sb="13" eb="14">
      <t>ショ</t>
    </rPh>
    <phoneticPr fontId="3"/>
  </si>
  <si>
    <t>504：東海総合事務所</t>
    <rPh sb="4" eb="6">
      <t>トウカイ</t>
    </rPh>
    <rPh sb="6" eb="8">
      <t>ソウゴウ</t>
    </rPh>
    <rPh sb="8" eb="10">
      <t>ジム</t>
    </rPh>
    <rPh sb="10" eb="11">
      <t>ショ</t>
    </rPh>
    <phoneticPr fontId="3"/>
  </si>
  <si>
    <t>507：九州総合事務所</t>
    <rPh sb="4" eb="6">
      <t>キュウシュウ</t>
    </rPh>
    <rPh sb="6" eb="8">
      <t>ソウゴウ</t>
    </rPh>
    <rPh sb="8" eb="10">
      <t>ジム</t>
    </rPh>
    <rPh sb="10" eb="11">
      <t>ショ</t>
    </rPh>
    <phoneticPr fontId="3"/>
  </si>
  <si>
    <t>505：近畿総合事務所</t>
    <rPh sb="4" eb="6">
      <t>キンキ</t>
    </rPh>
    <rPh sb="6" eb="8">
      <t>ソウゴウ</t>
    </rPh>
    <rPh sb="8" eb="10">
      <t>ジム</t>
    </rPh>
    <rPh sb="10" eb="11">
      <t>ショ</t>
    </rPh>
    <phoneticPr fontId="3"/>
  </si>
  <si>
    <t>506：中国・四国総合事務所</t>
    <rPh sb="4" eb="6">
      <t>チュウゴク</t>
    </rPh>
    <rPh sb="7" eb="9">
      <t>シコク</t>
    </rPh>
    <rPh sb="9" eb="11">
      <t>ソウゴウ</t>
    </rPh>
    <rPh sb="11" eb="13">
      <t>ジム</t>
    </rPh>
    <rPh sb="13" eb="14">
      <t>ショ</t>
    </rPh>
    <phoneticPr fontId="3"/>
  </si>
  <si>
    <t>3：地　方（一般交通等の影響を受ける地区）</t>
  </si>
  <si>
    <t>共通仮設費の対象額に含めない費用内訳</t>
    <phoneticPr fontId="4"/>
  </si>
  <si>
    <t xml:space="preserve">共通仮設費の対象に含めない費用がある場合は、金額及び管理費区分を必ず入力してください。 </t>
    <rPh sb="0" eb="2">
      <t>キョウツウ</t>
    </rPh>
    <rPh sb="2" eb="4">
      <t>カセツ</t>
    </rPh>
    <rPh sb="4" eb="5">
      <t>ヒ</t>
    </rPh>
    <rPh sb="6" eb="8">
      <t>タイショウ</t>
    </rPh>
    <rPh sb="9" eb="10">
      <t>フク</t>
    </rPh>
    <rPh sb="13" eb="15">
      <t>ヒヨウ</t>
    </rPh>
    <rPh sb="18" eb="20">
      <t>バアイ</t>
    </rPh>
    <rPh sb="22" eb="24">
      <t>キンガク</t>
    </rPh>
    <rPh sb="24" eb="25">
      <t>オヨ</t>
    </rPh>
    <rPh sb="26" eb="29">
      <t>カンリヒ</t>
    </rPh>
    <rPh sb="29" eb="31">
      <t>クブン</t>
    </rPh>
    <rPh sb="32" eb="33">
      <t>カナラ</t>
    </rPh>
    <rPh sb="34" eb="36">
      <t>ニュウリョク</t>
    </rPh>
    <phoneticPr fontId="5"/>
  </si>
  <si>
    <t>　管理費
区分</t>
    <phoneticPr fontId="4"/>
  </si>
  <si>
    <t>概　　要</t>
    <rPh sb="0" eb="1">
      <t>オオムネ</t>
    </rPh>
    <rPh sb="3" eb="4">
      <t>ヨウ</t>
    </rPh>
    <phoneticPr fontId="4"/>
  </si>
  <si>
    <t>現場管理費、一般管理費のみ対象とする場合</t>
    <rPh sb="18" eb="20">
      <t>バアイ</t>
    </rPh>
    <phoneticPr fontId="4"/>
  </si>
  <si>
    <t>工場管理費・一般管理費のみ対象とし、間接労務費の対象にしない場合（鋼桁、門扉等の工場製作に関わる製作工数単位以外の費用</t>
    <rPh sb="0" eb="2">
      <t>コウジョウ</t>
    </rPh>
    <rPh sb="2" eb="5">
      <t>カンリヒ</t>
    </rPh>
    <rPh sb="6" eb="8">
      <t>イッパン</t>
    </rPh>
    <rPh sb="8" eb="11">
      <t>カンリヒ</t>
    </rPh>
    <rPh sb="13" eb="15">
      <t>タイショウ</t>
    </rPh>
    <rPh sb="18" eb="20">
      <t>カンセツ</t>
    </rPh>
    <rPh sb="20" eb="23">
      <t>ロウムヒ</t>
    </rPh>
    <rPh sb="24" eb="26">
      <t>タイショウ</t>
    </rPh>
    <rPh sb="30" eb="32">
      <t>バアイ</t>
    </rPh>
    <rPh sb="33" eb="34">
      <t>コウ</t>
    </rPh>
    <rPh sb="34" eb="35">
      <t>ケタ</t>
    </rPh>
    <rPh sb="36" eb="38">
      <t>モンピ</t>
    </rPh>
    <rPh sb="38" eb="39">
      <t>トウ</t>
    </rPh>
    <rPh sb="40" eb="42">
      <t>コウジョウ</t>
    </rPh>
    <rPh sb="42" eb="44">
      <t>セイサク</t>
    </rPh>
    <rPh sb="45" eb="46">
      <t>カカ</t>
    </rPh>
    <rPh sb="48" eb="50">
      <t>セイサク</t>
    </rPh>
    <rPh sb="50" eb="52">
      <t>コウスウ</t>
    </rPh>
    <rPh sb="52" eb="54">
      <t>タンイ</t>
    </rPh>
    <rPh sb="54" eb="56">
      <t>イガイ</t>
    </rPh>
    <rPh sb="57" eb="59">
      <t>ヒヨウ</t>
    </rPh>
    <phoneticPr fontId="4"/>
  </si>
  <si>
    <t>一般管理費のみ対象にする場合</t>
    <rPh sb="12" eb="14">
      <t>バアイ</t>
    </rPh>
    <phoneticPr fontId="4"/>
  </si>
  <si>
    <t>間接労務費、工場管理費、一般管理費のみ対象にする場合（製作工数に関わるもの）</t>
    <rPh sb="0" eb="2">
      <t>カンセツ</t>
    </rPh>
    <rPh sb="2" eb="5">
      <t>ロウムヒ</t>
    </rPh>
    <rPh sb="6" eb="8">
      <t>コウジョウ</t>
    </rPh>
    <rPh sb="8" eb="11">
      <t>カンリヒ</t>
    </rPh>
    <rPh sb="12" eb="14">
      <t>イッパン</t>
    </rPh>
    <rPh sb="14" eb="17">
      <t>カンリヒ</t>
    </rPh>
    <rPh sb="19" eb="21">
      <t>タイショウ</t>
    </rPh>
    <rPh sb="24" eb="26">
      <t>バアイ</t>
    </rPh>
    <rPh sb="27" eb="29">
      <t>セイサク</t>
    </rPh>
    <rPh sb="29" eb="31">
      <t>コウスウ</t>
    </rPh>
    <rPh sb="32" eb="33">
      <t>カカ</t>
    </rPh>
    <phoneticPr fontId="4"/>
  </si>
  <si>
    <t>全ての間接費の対象にしない場合</t>
    <rPh sb="0" eb="1">
      <t>スベ</t>
    </rPh>
    <rPh sb="3" eb="6">
      <t>カンセツヒ</t>
    </rPh>
    <rPh sb="7" eb="9">
      <t>タイショウ</t>
    </rPh>
    <rPh sb="13" eb="15">
      <t>バアイ</t>
    </rPh>
    <phoneticPr fontId="4"/>
  </si>
  <si>
    <t>処分費等に対象にする場合</t>
    <rPh sb="0" eb="3">
      <t>ショブンヒ</t>
    </rPh>
    <rPh sb="3" eb="4">
      <t>トウ</t>
    </rPh>
    <rPh sb="5" eb="7">
      <t>タイショウ</t>
    </rPh>
    <rPh sb="10" eb="12">
      <t>バアイ</t>
    </rPh>
    <phoneticPr fontId="4"/>
  </si>
  <si>
    <t>積算基準で非対象となっている品目</t>
    <rPh sb="0" eb="2">
      <t>セキサン</t>
    </rPh>
    <rPh sb="2" eb="4">
      <t>キジュン</t>
    </rPh>
    <rPh sb="5" eb="8">
      <t>ヒタイショウ</t>
    </rPh>
    <rPh sb="14" eb="16">
      <t>ヒンモク</t>
    </rPh>
    <phoneticPr fontId="4"/>
  </si>
  <si>
    <t>積算基準では非対象として決まっていない品目</t>
    <rPh sb="0" eb="2">
      <t>セキサン</t>
    </rPh>
    <rPh sb="2" eb="4">
      <t>キジュン</t>
    </rPh>
    <rPh sb="6" eb="9">
      <t>ヒタイショウ</t>
    </rPh>
    <rPh sb="12" eb="13">
      <t>キ</t>
    </rPh>
    <rPh sb="19" eb="21">
      <t>ヒンモク</t>
    </rPh>
    <phoneticPr fontId="4"/>
  </si>
  <si>
    <t>共通仮設費の対象に含めない品目</t>
    <rPh sb="0" eb="2">
      <t>キョウツウ</t>
    </rPh>
    <rPh sb="2" eb="4">
      <t>カセツ</t>
    </rPh>
    <rPh sb="4" eb="5">
      <t>ヒ</t>
    </rPh>
    <rPh sb="6" eb="8">
      <t>タイショウ</t>
    </rPh>
    <rPh sb="9" eb="10">
      <t>フク</t>
    </rPh>
    <rPh sb="13" eb="14">
      <t>シナ</t>
    </rPh>
    <rPh sb="14" eb="15">
      <t>ヒモク</t>
    </rPh>
    <phoneticPr fontId="5"/>
  </si>
  <si>
    <t>金　額（千円）</t>
    <rPh sb="4" eb="6">
      <t>センエン</t>
    </rPh>
    <phoneticPr fontId="5"/>
  </si>
  <si>
    <t>簡易組立式橋梁の購入費</t>
    <rPh sb="0" eb="2">
      <t>カンイ</t>
    </rPh>
    <rPh sb="2" eb="4">
      <t>クミタ</t>
    </rPh>
    <rPh sb="4" eb="5">
      <t>シキ</t>
    </rPh>
    <rPh sb="5" eb="7">
      <t>キョウリョウ</t>
    </rPh>
    <rPh sb="8" eb="10">
      <t>コウニュウ</t>
    </rPh>
    <phoneticPr fontId="5"/>
  </si>
  <si>
    <t>ＰＣ桁の購入費</t>
    <rPh sb="2" eb="3">
      <t>ケタ</t>
    </rPh>
    <rPh sb="4" eb="6">
      <t>コウニュウ</t>
    </rPh>
    <phoneticPr fontId="5"/>
  </si>
  <si>
    <t>門扉の購入費</t>
    <rPh sb="0" eb="1">
      <t>モン</t>
    </rPh>
    <rPh sb="1" eb="2">
      <t>トビラ</t>
    </rPh>
    <rPh sb="3" eb="5">
      <t>コウニュウ</t>
    </rPh>
    <phoneticPr fontId="5"/>
  </si>
  <si>
    <t>ポンプの購入費</t>
    <rPh sb="4" eb="6">
      <t>コウニュウ</t>
    </rPh>
    <phoneticPr fontId="5"/>
  </si>
  <si>
    <t>グレーチング床版の購入費</t>
    <rPh sb="6" eb="7">
      <t>ユカ</t>
    </rPh>
    <rPh sb="7" eb="8">
      <t>バン</t>
    </rPh>
    <rPh sb="9" eb="11">
      <t>コウニュウ</t>
    </rPh>
    <phoneticPr fontId="5"/>
  </si>
  <si>
    <t>大型遊具（設計製作品）の購入費</t>
    <rPh sb="0" eb="2">
      <t>オオガタ</t>
    </rPh>
    <rPh sb="2" eb="4">
      <t>ユウグ</t>
    </rPh>
    <rPh sb="5" eb="7">
      <t>セッケイ</t>
    </rPh>
    <rPh sb="7" eb="8">
      <t>セイ</t>
    </rPh>
    <rPh sb="8" eb="10">
      <t>サクヒン</t>
    </rPh>
    <rPh sb="12" eb="14">
      <t>コウニュウ</t>
    </rPh>
    <phoneticPr fontId="5"/>
  </si>
  <si>
    <t>大型標識柱
　（ｵｰﾊﾞｰﾍｯﾄﾞ柱、ｵｰﾊﾞｰﾊﾝｸﾞ柱）の製作費を含む材料費）</t>
    <rPh sb="0" eb="2">
      <t>オオガタ</t>
    </rPh>
    <rPh sb="2" eb="4">
      <t>ヒョウシキ</t>
    </rPh>
    <rPh sb="4" eb="5">
      <t>チュウ</t>
    </rPh>
    <rPh sb="17" eb="18">
      <t>チュウ</t>
    </rPh>
    <rPh sb="28" eb="29">
      <t>チュウ</t>
    </rPh>
    <rPh sb="31" eb="33">
      <t>セイサク</t>
    </rPh>
    <rPh sb="33" eb="34">
      <t>セイサクヒ</t>
    </rPh>
    <rPh sb="35" eb="36">
      <t>フク</t>
    </rPh>
    <rPh sb="37" eb="40">
      <t>ザイリョウヒ</t>
    </rPh>
    <phoneticPr fontId="5"/>
  </si>
  <si>
    <t>光ケーブルの購入費</t>
    <rPh sb="0" eb="1">
      <t>ヒカリ</t>
    </rPh>
    <rPh sb="6" eb="9">
      <t>コウニュウヒ</t>
    </rPh>
    <phoneticPr fontId="5"/>
  </si>
  <si>
    <t>処分費等（3％または3000万円を超える額）</t>
    <phoneticPr fontId="4"/>
  </si>
  <si>
    <t>プレキャストアーチカルバート
　ﾓｼﾞｭﾗｰﾁ・ﾃｸﾉｽﾊﾟﾝ等の製品費</t>
    <rPh sb="31" eb="32">
      <t>トウ</t>
    </rPh>
    <rPh sb="33" eb="35">
      <t>セイヒン</t>
    </rPh>
    <rPh sb="35" eb="36">
      <t>ヒ</t>
    </rPh>
    <phoneticPr fontId="4"/>
  </si>
  <si>
    <t>プレキャストスノーシェッド
　ｽﾉｰｼｪｯﾄﾞ部材の製品費</t>
    <rPh sb="23" eb="25">
      <t>ブザイ</t>
    </rPh>
    <rPh sb="26" eb="28">
      <t>セイヒン</t>
    </rPh>
    <rPh sb="28" eb="29">
      <t>ヒ</t>
    </rPh>
    <phoneticPr fontId="4"/>
  </si>
  <si>
    <t>ＰＣスノーシェルター
　ｽﾉｰｼｪﾙﾀｰ部材の製品費</t>
    <phoneticPr fontId="5"/>
  </si>
  <si>
    <t>プレキャストボックスカルバート
　内空5m×5m以上：車道BOX相当</t>
    <rPh sb="17" eb="18">
      <t>ナイ</t>
    </rPh>
    <rPh sb="18" eb="19">
      <t>クウ</t>
    </rPh>
    <rPh sb="24" eb="26">
      <t>イジョウ</t>
    </rPh>
    <rPh sb="27" eb="29">
      <t>シャドウ</t>
    </rPh>
    <rPh sb="32" eb="34">
      <t>ソウトウ</t>
    </rPh>
    <phoneticPr fontId="4"/>
  </si>
  <si>
    <t>プレキャストボックスカルバート
　RCﾌﾟﾚｷｬｽﾄﾎﾞｯｸｽｶﾙﾊﾞｰﾄの規格を超えるもの</t>
    <rPh sb="38" eb="40">
      <t>キカク</t>
    </rPh>
    <rPh sb="41" eb="42">
      <t>コ</t>
    </rPh>
    <phoneticPr fontId="4"/>
  </si>
  <si>
    <t>検査路
　鋼橋積算の製作品</t>
    <rPh sb="0" eb="2">
      <t>ケンサ</t>
    </rPh>
    <rPh sb="2" eb="3">
      <t>ロ</t>
    </rPh>
    <rPh sb="5" eb="7">
      <t>コウキョウ</t>
    </rPh>
    <rPh sb="7" eb="9">
      <t>セキサン</t>
    </rPh>
    <rPh sb="10" eb="12">
      <t>セイサク</t>
    </rPh>
    <rPh sb="12" eb="13">
      <t>ヒン</t>
    </rPh>
    <phoneticPr fontId="4"/>
  </si>
  <si>
    <t>検査路
　ＰＣ橋積算の製品（購入品）</t>
    <rPh sb="0" eb="2">
      <t>ケンサ</t>
    </rPh>
    <rPh sb="2" eb="3">
      <t>ロ</t>
    </rPh>
    <rPh sb="7" eb="8">
      <t>バシ</t>
    </rPh>
    <rPh sb="8" eb="10">
      <t>セキサン</t>
    </rPh>
    <rPh sb="11" eb="12">
      <t>セイ</t>
    </rPh>
    <rPh sb="12" eb="13">
      <t>ヒン</t>
    </rPh>
    <rPh sb="14" eb="16">
      <t>コウニュウ</t>
    </rPh>
    <rPh sb="16" eb="17">
      <t>ヒン</t>
    </rPh>
    <phoneticPr fontId="4"/>
  </si>
  <si>
    <t>排水装置
　鋼橋積算の製作品</t>
    <rPh sb="0" eb="2">
      <t>ハイスイ</t>
    </rPh>
    <rPh sb="2" eb="4">
      <t>ソウチ</t>
    </rPh>
    <rPh sb="6" eb="8">
      <t>コウキョウ</t>
    </rPh>
    <rPh sb="8" eb="10">
      <t>セキサン</t>
    </rPh>
    <rPh sb="11" eb="13">
      <t>セイサク</t>
    </rPh>
    <rPh sb="13" eb="14">
      <t>ヒン</t>
    </rPh>
    <phoneticPr fontId="4"/>
  </si>
  <si>
    <t>排水装置
　ＰＣ橋積算の製品（購入品）</t>
    <rPh sb="0" eb="2">
      <t>ハイスイ</t>
    </rPh>
    <rPh sb="2" eb="4">
      <t>ソウチ</t>
    </rPh>
    <rPh sb="8" eb="9">
      <t>バシ</t>
    </rPh>
    <rPh sb="9" eb="11">
      <t>セキサン</t>
    </rPh>
    <rPh sb="12" eb="14">
      <t>セイヒン</t>
    </rPh>
    <rPh sb="15" eb="17">
      <t>コウニュウ</t>
    </rPh>
    <rPh sb="17" eb="18">
      <t>シナ</t>
    </rPh>
    <phoneticPr fontId="4"/>
  </si>
  <si>
    <t>ゴム支承
　鋼橋積算の製作品</t>
    <rPh sb="2" eb="4">
      <t>シショウ</t>
    </rPh>
    <phoneticPr fontId="4"/>
  </si>
  <si>
    <t>ゴム支承
　ＰＣ橋積算</t>
    <rPh sb="2" eb="4">
      <t>シショウ</t>
    </rPh>
    <rPh sb="8" eb="9">
      <t>ハシ</t>
    </rPh>
    <phoneticPr fontId="4"/>
  </si>
  <si>
    <t>鋼製支承
　鋼橋積算</t>
    <rPh sb="0" eb="2">
      <t>コウセイ</t>
    </rPh>
    <rPh sb="2" eb="4">
      <t>シショウ</t>
    </rPh>
    <phoneticPr fontId="4"/>
  </si>
  <si>
    <t>鋼製支承
　ＰＣ橋積算</t>
    <rPh sb="2" eb="4">
      <t>シショウ</t>
    </rPh>
    <rPh sb="8" eb="9">
      <t>ハシ</t>
    </rPh>
    <phoneticPr fontId="4"/>
  </si>
  <si>
    <t>ジョイント
　鋼橋積算の製作品</t>
    <phoneticPr fontId="4"/>
  </si>
  <si>
    <t>ジョイント
　ＰＣ橋積算の製品（購入品）</t>
    <rPh sb="9" eb="10">
      <t>ハシ</t>
    </rPh>
    <phoneticPr fontId="4"/>
  </si>
  <si>
    <t>高欄
　鋼橋積算の製作品</t>
    <rPh sb="0" eb="2">
      <t>コウラン</t>
    </rPh>
    <phoneticPr fontId="4"/>
  </si>
  <si>
    <t>高欄
　ＰＣ橋積算の製品（購入品）</t>
    <rPh sb="0" eb="2">
      <t>コウラン</t>
    </rPh>
    <rPh sb="6" eb="7">
      <t>ハシ</t>
    </rPh>
    <phoneticPr fontId="4"/>
  </si>
  <si>
    <t>門扉等の「等」にあたるもの</t>
    <rPh sb="0" eb="1">
      <t>モン</t>
    </rPh>
    <rPh sb="1" eb="2">
      <t>トビラ</t>
    </rPh>
    <rPh sb="2" eb="3">
      <t>トウ</t>
    </rPh>
    <rPh sb="5" eb="6">
      <t>トウ</t>
    </rPh>
    <phoneticPr fontId="5"/>
  </si>
  <si>
    <t>「等」にあたるものの具体的な内容を入力</t>
    <rPh sb="1" eb="2">
      <t>トウ</t>
    </rPh>
    <rPh sb="17" eb="19">
      <t>ニュウリョク</t>
    </rPh>
    <phoneticPr fontId="4"/>
  </si>
  <si>
    <t>遮音壁
　工場で製作し、現地で設置した場合</t>
    <rPh sb="0" eb="3">
      <t>シャオンヘキ</t>
    </rPh>
    <rPh sb="5" eb="7">
      <t>コウジョウ</t>
    </rPh>
    <rPh sb="8" eb="10">
      <t>セイサク</t>
    </rPh>
    <rPh sb="12" eb="14">
      <t>ゲンチ</t>
    </rPh>
    <rPh sb="15" eb="17">
      <t>セッチ</t>
    </rPh>
    <rPh sb="19" eb="21">
      <t>バアイ</t>
    </rPh>
    <phoneticPr fontId="4"/>
  </si>
  <si>
    <t>モニュメント
　工場で製作し、現地で設置した場合</t>
    <phoneticPr fontId="4"/>
  </si>
  <si>
    <t>デザイン高欄
　工場で製作し、現地で設置した場合</t>
    <rPh sb="4" eb="6">
      <t>コウラン</t>
    </rPh>
    <phoneticPr fontId="4"/>
  </si>
  <si>
    <t>デザイン照明ポール
　工場で製作し、現地で設置した場合</t>
    <rPh sb="4" eb="6">
      <t>ショウメイ</t>
    </rPh>
    <phoneticPr fontId="4"/>
  </si>
  <si>
    <t>その他の場合の具体的な内容を入力</t>
    <rPh sb="0" eb="3">
      <t>ソノタ</t>
    </rPh>
    <rPh sb="4" eb="6">
      <t>バアイ</t>
    </rPh>
    <rPh sb="14" eb="16">
      <t>ニュウリョク</t>
    </rPh>
    <phoneticPr fontId="4"/>
  </si>
  <si>
    <t>合　　計</t>
    <rPh sb="0" eb="4">
      <t>ゴウケイ</t>
    </rPh>
    <phoneticPr fontId="5"/>
  </si>
  <si>
    <t>更生用管材料</t>
    <phoneticPr fontId="4"/>
  </si>
  <si>
    <t>※「下水道工事（4）」の場合に入力してください</t>
    <rPh sb="2" eb="5">
      <t>ゲスイドウ</t>
    </rPh>
    <rPh sb="5" eb="7">
      <t>コウジ</t>
    </rPh>
    <rPh sb="12" eb="14">
      <t>バアイ</t>
    </rPh>
    <rPh sb="15" eb="17">
      <t>ニュウリョク</t>
    </rPh>
    <phoneticPr fontId="5"/>
  </si>
  <si>
    <r>
      <t>材料費のうち、更生用管材料について入力してください。
ただし、</t>
    </r>
    <r>
      <rPr>
        <b/>
        <sz val="10"/>
        <rFont val="ＭＳ Ｐゴシック"/>
        <family val="3"/>
        <charset val="128"/>
      </rPr>
      <t>裏込め材料等は含めない</t>
    </r>
    <r>
      <rPr>
        <sz val="10"/>
        <rFont val="ＭＳ Ｐゴシック"/>
        <family val="3"/>
        <charset val="128"/>
      </rPr>
      <t>でください。</t>
    </r>
    <rPh sb="8" eb="9">
      <t>イ</t>
    </rPh>
    <rPh sb="31" eb="32">
      <t>ウラ</t>
    </rPh>
    <rPh sb="32" eb="33">
      <t>コ</t>
    </rPh>
    <rPh sb="34" eb="36">
      <t>ザイリョウ</t>
    </rPh>
    <rPh sb="36" eb="37">
      <t>トウ</t>
    </rPh>
    <rPh sb="38" eb="39">
      <t>フク</t>
    </rPh>
    <phoneticPr fontId="5"/>
  </si>
  <si>
    <t>更生用管材料</t>
    <phoneticPr fontId="5"/>
  </si>
  <si>
    <t>管径(mm)</t>
    <rPh sb="0" eb="1">
      <t>カン</t>
    </rPh>
    <rPh sb="1" eb="2">
      <t>ケイ</t>
    </rPh>
    <phoneticPr fontId="5"/>
  </si>
  <si>
    <t>数　量</t>
    <rPh sb="0" eb="1">
      <t>カズ</t>
    </rPh>
    <rPh sb="2" eb="3">
      <t>リョウ</t>
    </rPh>
    <phoneticPr fontId="5"/>
  </si>
  <si>
    <t>金額（千円）</t>
    <rPh sb="0" eb="1">
      <t>キン</t>
    </rPh>
    <rPh sb="1" eb="2">
      <t>ガク</t>
    </rPh>
    <rPh sb="3" eb="5">
      <t>センエン</t>
    </rPh>
    <phoneticPr fontId="5"/>
  </si>
  <si>
    <t>入力判定</t>
    <rPh sb="0" eb="2">
      <t>ニュウリョク</t>
    </rPh>
    <rPh sb="2" eb="4">
      <t>ハンテイ</t>
    </rPh>
    <phoneticPr fontId="4"/>
  </si>
  <si>
    <t>硬質塩化ビニル樹脂</t>
    <rPh sb="0" eb="2">
      <t>コウシツ</t>
    </rPh>
    <rPh sb="2" eb="4">
      <t>エンカ</t>
    </rPh>
    <rPh sb="7" eb="9">
      <t>ジュシ</t>
    </rPh>
    <phoneticPr fontId="5"/>
  </si>
  <si>
    <t>特殊ガラス繊維</t>
    <rPh sb="0" eb="2">
      <t>トクシュ</t>
    </rPh>
    <rPh sb="5" eb="7">
      <t>センイ</t>
    </rPh>
    <phoneticPr fontId="5"/>
  </si>
  <si>
    <t>ポリエステル繊維</t>
    <rPh sb="6" eb="8">
      <t>センイ</t>
    </rPh>
    <phoneticPr fontId="5"/>
  </si>
  <si>
    <t>不飽和ポリエステル樹脂</t>
    <rPh sb="0" eb="3">
      <t>フホウワ</t>
    </rPh>
    <rPh sb="9" eb="11">
      <t>ジュシ</t>
    </rPh>
    <phoneticPr fontId="5"/>
  </si>
  <si>
    <t>熱硬化性ポリエステル樹脂を含浸させた材料</t>
    <rPh sb="0" eb="1">
      <t>ネツ</t>
    </rPh>
    <rPh sb="1" eb="3">
      <t>コウカ</t>
    </rPh>
    <rPh sb="3" eb="4">
      <t>セイ</t>
    </rPh>
    <rPh sb="10" eb="12">
      <t>ジュシ</t>
    </rPh>
    <rPh sb="13" eb="14">
      <t>ガン</t>
    </rPh>
    <rPh sb="14" eb="15">
      <t>ヒタ</t>
    </rPh>
    <rPh sb="18" eb="20">
      <t>ザイリョウ</t>
    </rPh>
    <phoneticPr fontId="5"/>
  </si>
  <si>
    <t>硬化性樹脂を含浸させた材料</t>
    <rPh sb="0" eb="3">
      <t>コウカセイ</t>
    </rPh>
    <rPh sb="3" eb="5">
      <t>ジュシ</t>
    </rPh>
    <phoneticPr fontId="5"/>
  </si>
  <si>
    <t>ガラス繊維を含有したＦＲＰ管</t>
    <rPh sb="3" eb="5">
      <t>センイ</t>
    </rPh>
    <rPh sb="6" eb="8">
      <t>ガンユウ</t>
    </rPh>
    <rPh sb="13" eb="14">
      <t>カン</t>
    </rPh>
    <phoneticPr fontId="5"/>
  </si>
  <si>
    <t>※上記以外</t>
    <rPh sb="1" eb="3">
      <t>ジョウキ</t>
    </rPh>
    <rPh sb="3" eb="5">
      <t>イガイ</t>
    </rPh>
    <phoneticPr fontId="5"/>
  </si>
  <si>
    <t>合　　　計</t>
    <rPh sb="0" eb="1">
      <t>ゴウ</t>
    </rPh>
    <rPh sb="4" eb="5">
      <t>ケイ</t>
    </rPh>
    <phoneticPr fontId="5"/>
  </si>
  <si>
    <t>※上記以外の管更生材料使用の場合は、右欄の黄色セルに管材料名を入力してください。</t>
    <rPh sb="1" eb="3">
      <t>ジョウキ</t>
    </rPh>
    <rPh sb="3" eb="5">
      <t>イガイ</t>
    </rPh>
    <rPh sb="6" eb="7">
      <t>カン</t>
    </rPh>
    <rPh sb="7" eb="9">
      <t>コウセイ</t>
    </rPh>
    <rPh sb="9" eb="11">
      <t>ザイリョウ</t>
    </rPh>
    <rPh sb="11" eb="13">
      <t>シヨウ</t>
    </rPh>
    <rPh sb="14" eb="16">
      <t>バアイ</t>
    </rPh>
    <rPh sb="18" eb="19">
      <t>ミギ</t>
    </rPh>
    <rPh sb="19" eb="20">
      <t>ラン</t>
    </rPh>
    <rPh sb="21" eb="23">
      <t>キイロ</t>
    </rPh>
    <rPh sb="26" eb="27">
      <t>カン</t>
    </rPh>
    <rPh sb="27" eb="30">
      <t>ザイリョウメイ</t>
    </rPh>
    <rPh sb="31" eb="33">
      <t>ニュウリョク</t>
    </rPh>
    <phoneticPr fontId="5"/>
  </si>
  <si>
    <t>施工箇所が点在していた。</t>
    <rPh sb="0" eb="2">
      <t>セコウ</t>
    </rPh>
    <rPh sb="2" eb="4">
      <t>カショ</t>
    </rPh>
    <rPh sb="5" eb="7">
      <t>テンザイ</t>
    </rPh>
    <phoneticPr fontId="13"/>
  </si>
  <si>
    <t>YESの場合：施工箇所数を入力</t>
    <rPh sb="7" eb="9">
      <t>セコウ</t>
    </rPh>
    <rPh sb="9" eb="11">
      <t>カショ</t>
    </rPh>
    <rPh sb="11" eb="12">
      <t>カズ</t>
    </rPh>
    <phoneticPr fontId="6"/>
  </si>
  <si>
    <t>箇所）</t>
    <rPh sb="0" eb="2">
      <t>カショ</t>
    </rPh>
    <phoneticPr fontId="5"/>
  </si>
  <si>
    <t>※下水道工事及び管更生工事の場合は、「管径」を必ず入力してください</t>
  </si>
  <si>
    <t>現場環境改善費</t>
    <rPh sb="0" eb="2">
      <t>ゲンバ</t>
    </rPh>
    <rPh sb="2" eb="4">
      <t>カンキョウ</t>
    </rPh>
    <rPh sb="4" eb="6">
      <t>カイゼン</t>
    </rPh>
    <rPh sb="6" eb="7">
      <t>ヒ</t>
    </rPh>
    <phoneticPr fontId="5"/>
  </si>
  <si>
    <t>発注ファイル及び元請ファイルの現場環境改善費が未入力</t>
    <phoneticPr fontId="5"/>
  </si>
  <si>
    <t>現場環境改善費を入力して下さい</t>
    <phoneticPr fontId="5"/>
  </si>
  <si>
    <t>発注ファイルの現場環境改善費が未入力</t>
    <phoneticPr fontId="5"/>
  </si>
  <si>
    <t>元請ファイルの現場環境改善費が未入力</t>
  </si>
  <si>
    <t>受発注で現場環境改善費の金額差が大きい
（元請ファイル実績額の過大）</t>
    <rPh sb="0" eb="3">
      <t>ジュハッチュウ</t>
    </rPh>
    <rPh sb="12" eb="14">
      <t>キンガク</t>
    </rPh>
    <rPh sb="14" eb="15">
      <t>サ</t>
    </rPh>
    <rPh sb="16" eb="17">
      <t>オオ</t>
    </rPh>
    <rPh sb="21" eb="23">
      <t>モトウケ</t>
    </rPh>
    <rPh sb="27" eb="29">
      <t>ジッセキ</t>
    </rPh>
    <rPh sb="29" eb="30">
      <t>ガク</t>
    </rPh>
    <rPh sb="31" eb="33">
      <t>カダイ</t>
    </rPh>
    <phoneticPr fontId="5"/>
  </si>
  <si>
    <t>受発注で現場環境改善費の金額差が大きい
（元請ファイル実績額の過小）</t>
    <rPh sb="0" eb="3">
      <t>ジュハッチュウ</t>
    </rPh>
    <rPh sb="12" eb="14">
      <t>キンガク</t>
    </rPh>
    <rPh sb="14" eb="15">
      <t>サ</t>
    </rPh>
    <rPh sb="16" eb="17">
      <t>オオ</t>
    </rPh>
    <rPh sb="21" eb="23">
      <t>モトウケ</t>
    </rPh>
    <rPh sb="27" eb="29">
      <t>ジッセキ</t>
    </rPh>
    <rPh sb="29" eb="30">
      <t>ガク</t>
    </rPh>
    <rPh sb="31" eb="33">
      <t>カショウ</t>
    </rPh>
    <phoneticPr fontId="5"/>
  </si>
  <si>
    <t>安全用品等の費用（フルハーネスを除く）</t>
    <phoneticPr fontId="5"/>
  </si>
  <si>
    <t>C</t>
    <phoneticPr fontId="5"/>
  </si>
  <si>
    <t>外国人労働者の技能実習に要した費用</t>
    <phoneticPr fontId="5"/>
  </si>
  <si>
    <t>調査票ver</t>
    <rPh sb="0" eb="3">
      <t>チョウサヒョウ</t>
    </rPh>
    <phoneticPr fontId="69"/>
  </si>
  <si>
    <t>シート名</t>
    <rPh sb="3" eb="4">
      <t>ナ</t>
    </rPh>
    <phoneticPr fontId="69"/>
  </si>
  <si>
    <t>項目</t>
    <rPh sb="0" eb="2">
      <t>コウモク</t>
    </rPh>
    <phoneticPr fontId="69"/>
  </si>
  <si>
    <t>修正箇所（列）</t>
    <rPh sb="0" eb="2">
      <t>シュウセイ</t>
    </rPh>
    <rPh sb="2" eb="4">
      <t>カショ</t>
    </rPh>
    <rPh sb="5" eb="6">
      <t>レツ</t>
    </rPh>
    <phoneticPr fontId="69"/>
  </si>
  <si>
    <t>修正箇所（行）</t>
    <rPh sb="0" eb="2">
      <t>シュウセイ</t>
    </rPh>
    <rPh sb="2" eb="4">
      <t>カショ</t>
    </rPh>
    <rPh sb="5" eb="6">
      <t>ギョウ</t>
    </rPh>
    <phoneticPr fontId="69"/>
  </si>
  <si>
    <t>備考</t>
    <rPh sb="0" eb="2">
      <t>ビコウ</t>
    </rPh>
    <phoneticPr fontId="69"/>
  </si>
  <si>
    <t>Ver20.02</t>
    <phoneticPr fontId="69"/>
  </si>
  <si>
    <t>元請調査票データ</t>
    <phoneticPr fontId="69"/>
  </si>
  <si>
    <t>G</t>
    <phoneticPr fontId="69"/>
  </si>
  <si>
    <t>（フルハーネスを除く）を追加</t>
    <rPh sb="8" eb="9">
      <t>ノゾ</t>
    </rPh>
    <rPh sb="12" eb="14">
      <t>ツイカ</t>
    </rPh>
    <phoneticPr fontId="5"/>
  </si>
  <si>
    <t>C　外国人労働者の技能実習に要した費用</t>
    <phoneticPr fontId="5"/>
  </si>
  <si>
    <t>行追加</t>
    <rPh sb="0" eb="3">
      <t>ギョウツイカ</t>
    </rPh>
    <phoneticPr fontId="5"/>
  </si>
  <si>
    <t>要確認一覧表</t>
    <phoneticPr fontId="5"/>
  </si>
  <si>
    <t>現場環境改善費</t>
    <rPh sb="0" eb="6">
      <t>ゲンバカンキョウカイゼン</t>
    </rPh>
    <rPh sb="6" eb="7">
      <t>ヒ</t>
    </rPh>
    <phoneticPr fontId="5"/>
  </si>
  <si>
    <t>E～I</t>
    <phoneticPr fontId="5"/>
  </si>
  <si>
    <t>66～70</t>
    <phoneticPr fontId="5"/>
  </si>
  <si>
    <t>イメージアップ費になっていた</t>
    <rPh sb="7" eb="8">
      <t>ヒ</t>
    </rPh>
    <phoneticPr fontId="5"/>
  </si>
  <si>
    <t>Ver20.02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</si>
</sst>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0"/>
    <numFmt numFmtId="177" formatCode="0.0_ "/>
    <numFmt numFmtId="178" formatCode="#,##0_ "/>
    <numFmt numFmtId="179" formatCode="0.00_ "/>
    <numFmt numFmtId="180" formatCode="#,##0.0_ "/>
    <numFmt numFmtId="181" formatCode="00000"/>
    <numFmt numFmtId="182" formatCode="#,##0;[Red]#,##0"/>
    <numFmt numFmtId="183" formatCode="#,##0_ ;[Red]\-#,##0\ "/>
    <numFmt numFmtId="184" formatCode="0.0%"/>
    <numFmt numFmtId="185" formatCode="[$-411]ggge&quot;年度&quot;"/>
    <numFmt numFmtId="186" formatCode="&quot;第&quot;0&quot;回&quot;"/>
    <numFmt numFmtId="187" formatCode="&quot;合計　&quot;0%"/>
    <numFmt numFmtId="188" formatCode="&quot;落札率　&quot;0.0&quot; %&quot;"/>
    <numFmt numFmtId="189" formatCode="0.0"/>
    <numFmt numFmtId="190" formatCode="#,##0.0;[Red]\-#,##0.0"/>
    <numFmt numFmtId="191" formatCode="0.0000"/>
    <numFmt numFmtId="192" formatCode="0_ "/>
    <numFmt numFmtId="193" formatCode="#,##0.0000;[Red]\-#,##0.0000"/>
    <numFmt numFmtId="194" formatCode="0.000_);[Red]\(0.000\)"/>
    <numFmt numFmtId="195" formatCode="0.00_);[Red]\(0.00\)"/>
    <numFmt numFmtId="196" formatCode="0.0000%"/>
    <numFmt numFmtId="197" formatCode="0.0_);[Red]\(0.0\)"/>
    <numFmt numFmtId="198" formatCode="0_);[Red]\(0\)"/>
    <numFmt numFmtId="199" formatCode="yy/m/d"/>
    <numFmt numFmtId="200" formatCode="[$-411]ge\.m\.d;@"/>
    <numFmt numFmtId="201" formatCode="mm/dd"/>
    <numFmt numFmtId="202" formatCode="[$-411]ge/mm/dd"/>
    <numFmt numFmtId="203" formatCode="#,##0.0_ ;[Red]\-#,##0.0\ "/>
    <numFmt numFmtId="204" formatCode="#,##0&quot;）&quot;"/>
    <numFmt numFmtId="205" formatCode="#,##0.000;[Red]\-#,##0.00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明朝"/>
      <family val="1"/>
      <charset val="128"/>
    </font>
    <font>
      <sz val="6"/>
      <name val="ＭＳ Ｐゴシック"/>
      <family val="3"/>
      <charset val="128"/>
    </font>
    <font>
      <b/>
      <sz val="16"/>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12"/>
      <name val="Osaka"/>
      <family val="3"/>
      <charset val="128"/>
    </font>
    <font>
      <sz val="8"/>
      <name val="ＭＳ Ｐゴシック"/>
      <family val="3"/>
      <charset val="128"/>
    </font>
    <font>
      <sz val="10"/>
      <color indexed="10"/>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name val="ＭＳ Ｐゴシック"/>
      <family val="3"/>
      <charset val="128"/>
    </font>
    <font>
      <b/>
      <sz val="9"/>
      <color indexed="10"/>
      <name val="ＭＳ Ｐゴシック"/>
      <family val="3"/>
      <charset val="128"/>
    </font>
    <font>
      <b/>
      <sz val="10"/>
      <color indexed="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0"/>
      <color indexed="9"/>
      <name val="ＭＳ Ｐゴシック"/>
      <family val="3"/>
      <charset val="128"/>
    </font>
    <font>
      <b/>
      <sz val="12"/>
      <name val="ＭＳ Ｐゴシック"/>
      <family val="3"/>
      <charset val="128"/>
    </font>
    <font>
      <sz val="11"/>
      <name val="ＭＳ Ｐゴシック"/>
      <family val="3"/>
      <charset val="128"/>
    </font>
    <font>
      <sz val="10"/>
      <color indexed="12"/>
      <name val="ＭＳ Ｐゴシック"/>
      <family val="3"/>
      <charset val="128"/>
    </font>
    <font>
      <sz val="11"/>
      <color indexed="12"/>
      <name val="ＭＳ Ｐゴシック"/>
      <family val="3"/>
      <charset val="128"/>
    </font>
    <font>
      <sz val="12"/>
      <color indexed="10"/>
      <name val="ＭＳ Ｐゴシック"/>
      <family val="3"/>
      <charset val="128"/>
    </font>
    <font>
      <b/>
      <sz val="12"/>
      <color indexed="10"/>
      <name val="ＭＳ Ｐゴシック"/>
      <family val="3"/>
      <charset val="128"/>
    </font>
    <font>
      <b/>
      <sz val="13"/>
      <name val="ＭＳ Ｐゴシック"/>
      <family val="3"/>
      <charset val="128"/>
    </font>
    <font>
      <sz val="12"/>
      <color indexed="12"/>
      <name val="ＭＳ Ｐゴシック"/>
      <family val="3"/>
      <charset val="128"/>
    </font>
    <font>
      <b/>
      <sz val="12"/>
      <color indexed="12"/>
      <name val="ＭＳ Ｐゴシック"/>
      <family val="3"/>
      <charset val="128"/>
    </font>
    <font>
      <sz val="9"/>
      <color indexed="81"/>
      <name val="ＭＳ Ｐゴシック"/>
      <family val="3"/>
      <charset val="128"/>
    </font>
    <font>
      <sz val="8"/>
      <color indexed="10"/>
      <name val="ＭＳ Ｐゴシック"/>
      <family val="3"/>
      <charset val="128"/>
    </font>
    <font>
      <b/>
      <sz val="9"/>
      <color indexed="81"/>
      <name val="ＭＳ Ｐゴシック"/>
      <family val="3"/>
      <charset val="128"/>
    </font>
    <font>
      <sz val="11"/>
      <color indexed="10"/>
      <name val="ＭＳ Ｐゴシック"/>
      <family val="3"/>
      <charset val="128"/>
    </font>
    <font>
      <sz val="10.5"/>
      <name val="ＭＳ Ｐゴシック"/>
      <family val="3"/>
      <charset val="128"/>
    </font>
    <font>
      <b/>
      <sz val="11"/>
      <color indexed="14"/>
      <name val="ＭＳ Ｐゴシック"/>
      <family val="3"/>
      <charset val="128"/>
    </font>
    <font>
      <sz val="11"/>
      <color indexed="14"/>
      <name val="ＭＳ Ｐゴシック"/>
      <family val="3"/>
      <charset val="128"/>
    </font>
    <font>
      <sz val="10"/>
      <color indexed="17"/>
      <name val="ＭＳ Ｐゴシック"/>
      <family val="3"/>
      <charset val="128"/>
    </font>
    <font>
      <sz val="10"/>
      <color indexed="81"/>
      <name val="ＭＳ Ｐゴシック"/>
      <family val="3"/>
      <charset val="128"/>
    </font>
    <font>
      <sz val="11"/>
      <color indexed="53"/>
      <name val="ＭＳ Ｐゴシック"/>
      <family val="3"/>
      <charset val="128"/>
    </font>
    <font>
      <b/>
      <sz val="10"/>
      <color indexed="12"/>
      <name val="ＭＳ Ｐゴシック"/>
      <family val="3"/>
      <charset val="128"/>
    </font>
    <font>
      <b/>
      <sz val="12"/>
      <name val="ＭＳ 明朝"/>
      <family val="1"/>
      <charset val="128"/>
    </font>
    <font>
      <sz val="10"/>
      <name val="ＭＳ 明朝"/>
      <family val="1"/>
      <charset val="128"/>
    </font>
    <font>
      <sz val="10"/>
      <color indexed="10"/>
      <name val="ＭＳ 明朝"/>
      <family val="1"/>
      <charset val="128"/>
    </font>
    <font>
      <b/>
      <sz val="10"/>
      <color rgb="FFFF0000"/>
      <name val="ＭＳ Ｐゴシック"/>
      <family val="3"/>
      <charset val="128"/>
    </font>
    <font>
      <sz val="10"/>
      <color rgb="FFFF0000"/>
      <name val="ＭＳ Ｐゴシック"/>
      <family val="3"/>
      <charset val="128"/>
    </font>
    <font>
      <b/>
      <sz val="11"/>
      <color indexed="12"/>
      <name val="ＭＳ Ｐゴシック"/>
      <family val="3"/>
      <charset val="128"/>
    </font>
    <font>
      <sz val="11"/>
      <color indexed="8"/>
      <name val="ＭＳ Ｐゴシック"/>
      <family val="3"/>
      <charset val="128"/>
    </font>
    <font>
      <sz val="18"/>
      <name val="Wingdings"/>
      <charset val="2"/>
    </font>
    <font>
      <sz val="9"/>
      <color rgb="FFFF0000"/>
      <name val="ＭＳ Ｐゴシック"/>
      <family val="3"/>
      <charset val="128"/>
    </font>
    <font>
      <sz val="11"/>
      <color rgb="FFFF0000"/>
      <name val="ＭＳ Ｐゴシック"/>
      <family val="3"/>
      <charset val="128"/>
    </font>
    <font>
      <b/>
      <sz val="12"/>
      <color rgb="FFFF0000"/>
      <name val="ＭＳ Ｐゴシック"/>
      <family val="3"/>
      <charset val="128"/>
    </font>
    <font>
      <sz val="9"/>
      <color indexed="23"/>
      <name val="ＭＳ Ｐゴシック"/>
      <family val="3"/>
      <charset val="128"/>
    </font>
    <font>
      <sz val="9"/>
      <color indexed="17"/>
      <name val="ＭＳ Ｐゴシック"/>
      <family val="3"/>
      <charset val="128"/>
    </font>
    <font>
      <sz val="9"/>
      <color indexed="48"/>
      <name val="ＭＳ Ｐゴシック"/>
      <family val="3"/>
      <charset val="128"/>
    </font>
    <font>
      <sz val="9"/>
      <color indexed="49"/>
      <name val="ＭＳ Ｐゴシック"/>
      <family val="3"/>
      <charset val="128"/>
    </font>
    <font>
      <sz val="9"/>
      <color indexed="19"/>
      <name val="ＭＳ Ｐゴシック"/>
      <family val="3"/>
      <charset val="128"/>
    </font>
    <font>
      <sz val="9"/>
      <color indexed="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9"/>
      <color rgb="FF808080"/>
      <name val="ＭＳ Ｐゴシック"/>
      <family val="3"/>
      <charset val="128"/>
    </font>
    <font>
      <sz val="10"/>
      <color rgb="FFFF0000"/>
      <name val="ＭＳ 明朝"/>
      <family val="1"/>
      <charset val="128"/>
    </font>
    <font>
      <sz val="6"/>
      <name val="ＭＳ Ｐゴシック"/>
      <family val="2"/>
      <charset val="128"/>
      <scheme val="minor"/>
    </font>
    <font>
      <b/>
      <sz val="11"/>
      <color rgb="FFFF0000"/>
      <name val="ＭＳ Ｐゴシック"/>
      <family val="3"/>
      <charset val="128"/>
    </font>
    <font>
      <sz val="11"/>
      <color theme="1"/>
      <name val="ＭＳ Ｐゴシック"/>
      <family val="2"/>
      <scheme val="minor"/>
    </font>
    <font>
      <sz val="6"/>
      <name val="ＭＳ Ｐゴシック"/>
      <family val="3"/>
      <charset val="128"/>
      <scheme val="minor"/>
    </font>
    <font>
      <b/>
      <sz val="10"/>
      <color indexed="14"/>
      <name val="ＭＳ Ｐゴシック"/>
      <family val="3"/>
      <charset val="128"/>
    </font>
    <font>
      <sz val="10"/>
      <color indexed="14"/>
      <name val="ＭＳ Ｐゴシック"/>
      <family val="3"/>
      <charset val="128"/>
    </font>
    <font>
      <sz val="9"/>
      <color indexed="14"/>
      <name val="ＭＳ Ｐゴシック"/>
      <family val="3"/>
      <charset val="128"/>
    </font>
    <font>
      <b/>
      <sz val="8"/>
      <color indexed="10"/>
      <name val="ＭＳ Ｐゴシック"/>
      <family val="3"/>
      <charset val="128"/>
    </font>
    <font>
      <u/>
      <sz val="11"/>
      <color theme="10"/>
      <name val="ＭＳ Ｐゴシック"/>
      <family val="3"/>
      <charset val="128"/>
    </font>
    <font>
      <b/>
      <sz val="14"/>
      <color rgb="FFFF0000"/>
      <name val="ＭＳ Ｐゴシック"/>
      <family val="3"/>
      <charset val="128"/>
    </font>
    <font>
      <sz val="11"/>
      <color theme="1"/>
      <name val="ＭＳ Ｐゴシック"/>
      <family val="3"/>
      <charset val="128"/>
    </font>
    <font>
      <b/>
      <sz val="8"/>
      <color rgb="FFFF0000"/>
      <name val="ＭＳ Ｐゴシック"/>
      <family val="3"/>
      <charset val="128"/>
    </font>
  </fonts>
  <fills count="2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3"/>
        <bgColor indexed="64"/>
      </patternFill>
    </fill>
    <fill>
      <patternFill patternType="solid">
        <fgColor indexed="45"/>
        <bgColor indexed="64"/>
      </patternFill>
    </fill>
    <fill>
      <patternFill patternType="solid">
        <fgColor rgb="FFFF99CC"/>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450666829432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FFCCFF"/>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99CCFF"/>
        <bgColor indexed="64"/>
      </patternFill>
    </fill>
    <fill>
      <patternFill patternType="solid">
        <fgColor indexed="47"/>
        <bgColor indexed="64"/>
      </patternFill>
    </fill>
    <fill>
      <patternFill patternType="solid">
        <fgColor rgb="FF00B0F0"/>
        <bgColor indexed="64"/>
      </patternFill>
    </fill>
  </fills>
  <borders count="20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medium">
        <color indexed="23"/>
      </left>
      <right style="medium">
        <color indexed="23"/>
      </right>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medium">
        <color indexed="23"/>
      </left>
      <right style="thin">
        <color indexed="23"/>
      </right>
      <top style="medium">
        <color indexed="23"/>
      </top>
      <bottom style="thin">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3"/>
      </left>
      <right style="thin">
        <color indexed="23"/>
      </right>
      <top style="medium">
        <color indexed="23"/>
      </top>
      <bottom/>
      <diagonal/>
    </border>
    <border>
      <left style="thin">
        <color indexed="23"/>
      </left>
      <right style="thin">
        <color indexed="23"/>
      </right>
      <top/>
      <bottom style="medium">
        <color indexed="23"/>
      </bottom>
      <diagonal/>
    </border>
    <border>
      <left style="thin">
        <color indexed="23"/>
      </left>
      <right style="medium">
        <color indexed="23"/>
      </right>
      <top style="medium">
        <color indexed="23"/>
      </top>
      <bottom/>
      <diagonal/>
    </border>
    <border>
      <left style="thin">
        <color indexed="23"/>
      </left>
      <right style="medium">
        <color indexed="23"/>
      </right>
      <top/>
      <bottom style="medium">
        <color indexed="23"/>
      </bottom>
      <diagonal/>
    </border>
    <border>
      <left style="medium">
        <color indexed="23"/>
      </left>
      <right style="thin">
        <color indexed="23"/>
      </right>
      <top style="medium">
        <color indexed="23"/>
      </top>
      <bottom/>
      <diagonal/>
    </border>
    <border>
      <left style="thin">
        <color indexed="23"/>
      </left>
      <right/>
      <top style="thin">
        <color indexed="23"/>
      </top>
      <bottom style="medium">
        <color indexed="23"/>
      </bottom>
      <diagonal/>
    </border>
    <border>
      <left style="thin">
        <color indexed="23"/>
      </left>
      <right/>
      <top style="medium">
        <color indexed="23"/>
      </top>
      <bottom style="thin">
        <color indexed="23"/>
      </bottom>
      <diagonal/>
    </border>
    <border>
      <left style="medium">
        <color indexed="23"/>
      </left>
      <right style="medium">
        <color indexed="23"/>
      </right>
      <top style="medium">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medium">
        <color indexed="23"/>
      </left>
      <right/>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23"/>
      </left>
      <right/>
      <top style="medium">
        <color indexed="23"/>
      </top>
      <bottom style="medium">
        <color indexed="23"/>
      </bottom>
      <diagonal/>
    </border>
    <border>
      <left/>
      <right/>
      <top style="medium">
        <color indexed="23"/>
      </top>
      <bottom style="medium">
        <color indexed="23"/>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 diagonalUp="1">
      <left style="thin">
        <color indexed="64"/>
      </left>
      <right style="thin">
        <color indexed="64"/>
      </right>
      <top style="thin">
        <color auto="1"/>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thin">
        <color indexed="64"/>
      </top>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medium">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top style="thin">
        <color indexed="23"/>
      </top>
      <bottom style="thin">
        <color indexed="23"/>
      </bottom>
      <diagonal/>
    </border>
    <border>
      <left style="medium">
        <color indexed="23"/>
      </left>
      <right style="medium">
        <color indexed="23"/>
      </right>
      <top style="thin">
        <color indexed="23"/>
      </top>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medium">
        <color indexed="23"/>
      </right>
      <top style="thin">
        <color indexed="23"/>
      </top>
      <bottom/>
      <diagonal/>
    </border>
    <border>
      <left style="thin">
        <color indexed="23"/>
      </left>
      <right/>
      <top style="thin">
        <color indexed="23"/>
      </top>
      <bottom/>
      <diagonal/>
    </border>
    <border>
      <left style="medium">
        <color indexed="23"/>
      </left>
      <right style="medium">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top style="thin">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rgb="FFFF0000"/>
      </left>
      <right/>
      <top/>
      <bottom/>
      <diagonal/>
    </border>
    <border>
      <left style="thick">
        <color rgb="FFFF0000"/>
      </left>
      <right/>
      <top/>
      <bottom style="thin">
        <color indexed="64"/>
      </bottom>
      <diagonal/>
    </border>
    <border>
      <left style="thin">
        <color indexed="64"/>
      </left>
      <right style="thick">
        <color rgb="FFFF0000"/>
      </right>
      <top style="hair">
        <color indexed="64"/>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bottom/>
      <diagonal/>
    </border>
    <border>
      <left style="thin">
        <color indexed="64"/>
      </left>
      <right style="thick">
        <color rgb="FFFF0000"/>
      </right>
      <top style="hair">
        <color indexed="64"/>
      </top>
      <bottom/>
      <diagonal/>
    </border>
    <border>
      <left style="thick">
        <color rgb="FFFF0000"/>
      </left>
      <right/>
      <top style="thin">
        <color indexed="64"/>
      </top>
      <bottom style="double">
        <color indexed="64"/>
      </bottom>
      <diagonal/>
    </border>
    <border>
      <left/>
      <right/>
      <top style="thin">
        <color indexed="64"/>
      </top>
      <bottom style="double">
        <color indexed="64"/>
      </bottom>
      <diagonal/>
    </border>
    <border>
      <left style="thin">
        <color indexed="64"/>
      </left>
      <right style="thick">
        <color rgb="FFFF0000"/>
      </right>
      <top style="thin">
        <color indexed="64"/>
      </top>
      <bottom style="double">
        <color indexed="64"/>
      </bottom>
      <diagonal/>
    </border>
    <border>
      <left style="thick">
        <color rgb="FFFF0000"/>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rgb="FFFF0000"/>
      </right>
      <top style="double">
        <color indexed="64"/>
      </top>
      <bottom style="thin">
        <color indexed="64"/>
      </bottom>
      <diagonal/>
    </border>
    <border>
      <left/>
      <right style="thick">
        <color rgb="FFFF0000"/>
      </right>
      <top style="thin">
        <color indexed="64"/>
      </top>
      <bottom/>
      <diagonal/>
    </border>
    <border>
      <left style="thin">
        <color indexed="64"/>
      </left>
      <right style="thick">
        <color rgb="FFFF0000"/>
      </right>
      <top style="thin">
        <color indexed="64"/>
      </top>
      <bottom style="hair">
        <color indexed="64"/>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indexed="64"/>
      </top>
      <bottom style="thin">
        <color indexed="64"/>
      </bottom>
      <diagonal/>
    </border>
    <border>
      <left/>
      <right style="thick">
        <color rgb="FFFF0000"/>
      </right>
      <top style="thin">
        <color indexed="64"/>
      </top>
      <bottom style="hair">
        <color indexed="64"/>
      </bottom>
      <diagonal/>
    </border>
    <border>
      <left/>
      <right style="thick">
        <color rgb="FFFF0000"/>
      </right>
      <top style="hair">
        <color auto="1"/>
      </top>
      <bottom style="hair">
        <color auto="1"/>
      </bottom>
      <diagonal/>
    </border>
    <border>
      <left/>
      <right style="thick">
        <color rgb="FFFF0000"/>
      </right>
      <top style="hair">
        <color indexed="64"/>
      </top>
      <bottom/>
      <diagonal/>
    </border>
    <border>
      <left/>
      <right style="thick">
        <color rgb="FFFF0000"/>
      </right>
      <top/>
      <bottom style="thin">
        <color indexed="64"/>
      </bottom>
      <diagonal/>
    </border>
    <border diagonalUp="1">
      <left style="thin">
        <color indexed="64"/>
      </left>
      <right style="thick">
        <color rgb="FFFF0000"/>
      </right>
      <top style="thin">
        <color indexed="64"/>
      </top>
      <bottom/>
      <diagonal style="thin">
        <color indexed="64"/>
      </diagonal>
    </border>
    <border>
      <left/>
      <right style="thick">
        <color rgb="FFFF0000"/>
      </right>
      <top style="hair">
        <color indexed="64"/>
      </top>
      <bottom style="thin">
        <color indexed="64"/>
      </bottom>
      <diagonal/>
    </border>
    <border diagonalUp="1">
      <left style="thin">
        <color indexed="64"/>
      </left>
      <right style="thick">
        <color rgb="FFFF0000"/>
      </right>
      <top style="thin">
        <color indexed="64"/>
      </top>
      <bottom style="thin">
        <color indexed="64"/>
      </bottom>
      <diagonal style="thin">
        <color indexed="64"/>
      </diagonal>
    </border>
    <border>
      <left/>
      <right/>
      <top style="thick">
        <color rgb="FFFF0000"/>
      </top>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theme="1"/>
      </right>
      <top style="thick">
        <color rgb="FFFF0000"/>
      </top>
      <bottom style="thin">
        <color indexed="64"/>
      </bottom>
      <diagonal/>
    </border>
    <border>
      <left/>
      <right style="thin">
        <color theme="1"/>
      </right>
      <top style="thin">
        <color indexed="64"/>
      </top>
      <bottom style="thin">
        <color indexed="64"/>
      </bottom>
      <diagonal/>
    </border>
    <border>
      <left style="thin">
        <color theme="1"/>
      </left>
      <right/>
      <top style="thick">
        <color rgb="FFFF0000"/>
      </top>
      <bottom style="thin">
        <color indexed="64"/>
      </bottom>
      <diagonal/>
    </border>
    <border>
      <left style="thin">
        <color theme="1"/>
      </left>
      <right/>
      <top style="thin">
        <color indexed="64"/>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style="thick">
        <color rgb="FFFF0000"/>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thick">
        <color rgb="FFFF0000"/>
      </right>
      <top style="thin">
        <color theme="1"/>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hair">
        <color indexed="64"/>
      </left>
      <right style="hair">
        <color indexed="64"/>
      </right>
      <top style="hair">
        <color indexed="64"/>
      </top>
      <bottom/>
      <diagonal/>
    </border>
    <border>
      <left style="dotted">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top style="hair">
        <color indexed="64"/>
      </top>
      <bottom style="dotted">
        <color indexed="64"/>
      </bottom>
      <diagonal/>
    </border>
    <border>
      <left style="dotted">
        <color indexed="64"/>
      </left>
      <right/>
      <top style="hair">
        <color indexed="64"/>
      </top>
      <bottom style="thin">
        <color indexed="64"/>
      </bottom>
      <diagonal/>
    </border>
    <border>
      <left style="dotted">
        <color indexed="64"/>
      </left>
      <right/>
      <top/>
      <bottom style="hair">
        <color indexed="64"/>
      </bottom>
      <diagonal/>
    </border>
    <border>
      <left style="hair">
        <color indexed="64"/>
      </left>
      <right style="hair">
        <color indexed="64"/>
      </right>
      <top style="thin">
        <color indexed="64"/>
      </top>
      <bottom/>
      <diagonal/>
    </border>
    <border diagonalUp="1">
      <left style="thin">
        <color indexed="64"/>
      </left>
      <right/>
      <top style="thin">
        <color indexed="64"/>
      </top>
      <bottom style="thin">
        <color indexed="64"/>
      </bottom>
      <diagonal style="hair">
        <color indexed="64"/>
      </diagonal>
    </border>
  </borders>
  <cellStyleXfs count="35">
    <xf numFmtId="0" fontId="0" fillId="0" borderId="0"/>
    <xf numFmtId="9" fontId="3" fillId="0" borderId="0" applyFont="0" applyFill="0" applyBorder="0" applyAlignment="0" applyProtection="0"/>
    <xf numFmtId="38" fontId="3"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13" fillId="0" borderId="0"/>
    <xf numFmtId="0" fontId="10" fillId="0" borderId="0"/>
    <xf numFmtId="0" fontId="7" fillId="0" borderId="0">
      <alignment vertical="center"/>
    </xf>
    <xf numFmtId="0" fontId="7" fillId="0" borderId="0">
      <alignment vertical="center"/>
    </xf>
    <xf numFmtId="0" fontId="7" fillId="0" borderId="0"/>
    <xf numFmtId="0" fontId="3" fillId="0" borderId="0">
      <alignment vertical="center"/>
    </xf>
    <xf numFmtId="38" fontId="3" fillId="0" borderId="0" applyFont="0" applyFill="0" applyBorder="0" applyAlignment="0" applyProtection="0"/>
    <xf numFmtId="0" fontId="53" fillId="0" borderId="0">
      <alignment vertical="center"/>
    </xf>
    <xf numFmtId="0" fontId="3"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alignment vertical="center"/>
    </xf>
    <xf numFmtId="0" fontId="2"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53" fillId="0" borderId="0"/>
    <xf numFmtId="0" fontId="64" fillId="0" borderId="0">
      <alignment vertical="center"/>
    </xf>
    <xf numFmtId="0" fontId="3" fillId="0" borderId="0"/>
    <xf numFmtId="0" fontId="3" fillId="0" borderId="0"/>
    <xf numFmtId="0" fontId="71" fillId="0" borderId="0"/>
    <xf numFmtId="0" fontId="3" fillId="0" borderId="0">
      <alignment vertical="center"/>
    </xf>
    <xf numFmtId="0" fontId="3" fillId="0" borderId="0">
      <alignment vertical="center"/>
    </xf>
    <xf numFmtId="0" fontId="77" fillId="0" borderId="0" applyNumberFormat="0" applyFill="0" applyBorder="0" applyAlignment="0" applyProtection="0"/>
    <xf numFmtId="0" fontId="1" fillId="0" borderId="0">
      <alignment vertical="center"/>
    </xf>
  </cellStyleXfs>
  <cellXfs count="2787">
    <xf numFmtId="0" fontId="0" fillId="0" borderId="0" xfId="0"/>
    <xf numFmtId="0" fontId="6" fillId="0" borderId="0" xfId="0" applyFont="1" applyFill="1" applyBorder="1" applyAlignment="1">
      <alignment horizontal="center" vertical="center"/>
    </xf>
    <xf numFmtId="0" fontId="8" fillId="0" borderId="0" xfId="0" applyFont="1" applyFill="1" applyBorder="1" applyAlignment="1">
      <alignment horizontal="distributed" vertical="center"/>
    </xf>
    <xf numFmtId="0" fontId="3" fillId="0" borderId="0" xfId="0" applyFont="1" applyFill="1" applyAlignment="1">
      <alignment vertical="center"/>
    </xf>
    <xf numFmtId="0" fontId="3"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0" fillId="0" borderId="2" xfId="0" applyBorder="1" applyAlignment="1">
      <alignment horizontal="centerContinuous"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10" fillId="0" borderId="2" xfId="0" applyFont="1" applyBorder="1" applyAlignment="1">
      <alignment vertical="center"/>
    </xf>
    <xf numFmtId="0" fontId="3" fillId="0" borderId="8" xfId="0" applyFont="1" applyFill="1" applyBorder="1" applyAlignment="1">
      <alignment horizontal="centerContinuous" vertical="center"/>
    </xf>
    <xf numFmtId="0" fontId="3" fillId="0" borderId="0" xfId="0" applyFont="1" applyFill="1" applyAlignment="1">
      <alignment horizontal="centerContinuous" vertical="center"/>
    </xf>
    <xf numFmtId="0" fontId="0" fillId="0" borderId="0" xfId="0" applyAlignment="1">
      <alignment horizontal="centerContinuous" vertical="center"/>
    </xf>
    <xf numFmtId="0" fontId="3" fillId="0" borderId="0" xfId="0" applyFont="1"/>
    <xf numFmtId="176" fontId="3" fillId="0" borderId="0" xfId="0" applyNumberFormat="1" applyFont="1"/>
    <xf numFmtId="0" fontId="3" fillId="0" borderId="8" xfId="0" applyFont="1" applyFill="1" applyBorder="1" applyAlignment="1">
      <alignment horizontal="center" vertical="center"/>
    </xf>
    <xf numFmtId="0" fontId="3" fillId="0" borderId="0" xfId="0" applyFont="1" applyFill="1" applyBorder="1" applyAlignment="1">
      <alignment horizontal="centerContinuous" vertical="center"/>
    </xf>
    <xf numFmtId="0" fontId="0" fillId="0" borderId="1" xfId="0" applyBorder="1" applyAlignment="1">
      <alignment horizontal="center" vertical="center"/>
    </xf>
    <xf numFmtId="0" fontId="3" fillId="0" borderId="0" xfId="0" applyFont="1" applyBorder="1"/>
    <xf numFmtId="0" fontId="10" fillId="0" borderId="9" xfId="0" applyFont="1" applyFill="1" applyBorder="1" applyAlignment="1">
      <alignment vertical="center"/>
    </xf>
    <xf numFmtId="0" fontId="10" fillId="0" borderId="10" xfId="0" applyFont="1" applyBorder="1"/>
    <xf numFmtId="0" fontId="10" fillId="0" borderId="10" xfId="0" applyFont="1" applyFill="1" applyBorder="1" applyAlignment="1">
      <alignment vertical="center"/>
    </xf>
    <xf numFmtId="0" fontId="10" fillId="0" borderId="9" xfId="0" applyFont="1" applyBorder="1"/>
    <xf numFmtId="0" fontId="3" fillId="0" borderId="0" xfId="0" applyFont="1" applyBorder="1" applyAlignment="1">
      <alignment vertical="center"/>
    </xf>
    <xf numFmtId="0" fontId="3" fillId="0" borderId="8" xfId="9" applyFont="1" applyBorder="1" applyAlignment="1">
      <alignment vertical="center"/>
    </xf>
    <xf numFmtId="0" fontId="3" fillId="0" borderId="0" xfId="9" applyFont="1" applyAlignment="1">
      <alignment vertical="center"/>
    </xf>
    <xf numFmtId="3" fontId="3" fillId="0" borderId="0" xfId="9" applyNumberFormat="1" applyFont="1" applyAlignment="1">
      <alignment vertical="center"/>
    </xf>
    <xf numFmtId="0" fontId="3" fillId="0" borderId="0" xfId="9" applyFont="1" applyAlignment="1">
      <alignment horizontal="right" vertical="center"/>
    </xf>
    <xf numFmtId="0" fontId="3" fillId="0" borderId="1" xfId="9" applyFont="1" applyBorder="1" applyAlignment="1">
      <alignment horizontal="right" vertical="center"/>
    </xf>
    <xf numFmtId="0" fontId="10" fillId="0" borderId="0" xfId="9" applyFont="1" applyAlignment="1">
      <alignment vertical="center"/>
    </xf>
    <xf numFmtId="0" fontId="10" fillId="0" borderId="2" xfId="9" applyFont="1" applyBorder="1" applyAlignment="1">
      <alignment vertical="center"/>
    </xf>
    <xf numFmtId="3" fontId="10" fillId="0" borderId="0" xfId="9" applyNumberFormat="1" applyFont="1" applyAlignment="1">
      <alignment vertical="center"/>
    </xf>
    <xf numFmtId="0" fontId="3" fillId="0" borderId="2" xfId="0" applyFont="1" applyFill="1" applyBorder="1" applyAlignment="1">
      <alignmen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49" fontId="3"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3" fillId="0" borderId="6"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0" fillId="0" borderId="0" xfId="0" applyAlignment="1">
      <alignment vertical="center" wrapText="1"/>
    </xf>
    <xf numFmtId="0" fontId="0" fillId="0" borderId="0" xfId="0" applyBorder="1" applyAlignment="1">
      <alignment vertical="center"/>
    </xf>
    <xf numFmtId="0" fontId="10" fillId="0" borderId="0" xfId="0" applyFont="1" applyAlignment="1">
      <alignment vertical="center"/>
    </xf>
    <xf numFmtId="0" fontId="10" fillId="0" borderId="11" xfId="9" applyFont="1" applyBorder="1" applyAlignment="1">
      <alignment vertical="center"/>
    </xf>
    <xf numFmtId="0" fontId="10" fillId="0" borderId="0" xfId="9" applyFont="1" applyBorder="1" applyAlignment="1">
      <alignment vertical="center"/>
    </xf>
    <xf numFmtId="0" fontId="10" fillId="0" borderId="12" xfId="9" applyFont="1" applyBorder="1" applyAlignment="1">
      <alignment vertical="center"/>
    </xf>
    <xf numFmtId="0" fontId="10" fillId="0" borderId="10" xfId="9" applyFont="1" applyBorder="1" applyAlignment="1">
      <alignment vertical="center"/>
    </xf>
    <xf numFmtId="0" fontId="10" fillId="0" borderId="6" xfId="9" applyFont="1" applyBorder="1" applyAlignment="1">
      <alignment horizontal="center" vertical="center"/>
    </xf>
    <xf numFmtId="0" fontId="10" fillId="0" borderId="3" xfId="9" applyFont="1" applyBorder="1" applyAlignment="1">
      <alignment horizontal="center" vertical="center"/>
    </xf>
    <xf numFmtId="0" fontId="10" fillId="0" borderId="13" xfId="9" applyFont="1" applyBorder="1" applyAlignment="1">
      <alignment horizontal="center" vertical="center"/>
    </xf>
    <xf numFmtId="0" fontId="10" fillId="0" borderId="14" xfId="9" applyFont="1" applyBorder="1" applyAlignment="1">
      <alignment horizontal="center" vertical="center"/>
    </xf>
    <xf numFmtId="0" fontId="10" fillId="0" borderId="15" xfId="0" applyFont="1" applyFill="1" applyBorder="1" applyAlignment="1">
      <alignment vertical="center"/>
    </xf>
    <xf numFmtId="0" fontId="10" fillId="0" borderId="0" xfId="0" applyFont="1" applyFill="1" applyBorder="1" applyAlignment="1">
      <alignment vertical="center"/>
    </xf>
    <xf numFmtId="0" fontId="10" fillId="0" borderId="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3" xfId="0" applyFont="1" applyFill="1" applyBorder="1" applyAlignment="1">
      <alignment vertical="center"/>
    </xf>
    <xf numFmtId="0" fontId="10" fillId="0" borderId="16" xfId="0" applyFont="1" applyFill="1" applyBorder="1" applyAlignment="1">
      <alignment horizontal="center" vertical="center"/>
    </xf>
    <xf numFmtId="0" fontId="10" fillId="0" borderId="16" xfId="0" applyFont="1" applyFill="1" applyBorder="1" applyAlignment="1">
      <alignment vertical="center"/>
    </xf>
    <xf numFmtId="0" fontId="10" fillId="0" borderId="3" xfId="0" applyFont="1" applyBorder="1"/>
    <xf numFmtId="0" fontId="10" fillId="0" borderId="16" xfId="0" applyFont="1" applyBorder="1" applyAlignment="1">
      <alignment horizontal="center"/>
    </xf>
    <xf numFmtId="0" fontId="10" fillId="0" borderId="16" xfId="0" applyFont="1" applyBorder="1"/>
    <xf numFmtId="0" fontId="10" fillId="0" borderId="3" xfId="0" applyFont="1" applyBorder="1" applyAlignment="1">
      <alignment horizontal="right"/>
    </xf>
    <xf numFmtId="0" fontId="10" fillId="0" borderId="0" xfId="0" applyFont="1" applyBorder="1"/>
    <xf numFmtId="0" fontId="10" fillId="0" borderId="0" xfId="0" applyFont="1" applyBorder="1" applyAlignment="1">
      <alignment vertical="center"/>
    </xf>
    <xf numFmtId="0" fontId="10" fillId="0" borderId="17" xfId="0" applyFont="1" applyBorder="1"/>
    <xf numFmtId="0" fontId="10" fillId="0" borderId="0" xfId="0" applyFont="1" applyFill="1" applyAlignment="1">
      <alignment vertical="center"/>
    </xf>
    <xf numFmtId="0" fontId="3" fillId="0" borderId="4" xfId="0" applyFont="1" applyFill="1" applyBorder="1" applyAlignment="1">
      <alignment vertical="center"/>
    </xf>
    <xf numFmtId="0" fontId="3" fillId="0" borderId="7" xfId="0" applyFont="1" applyFill="1" applyBorder="1" applyAlignment="1">
      <alignment horizontal="center" vertical="center"/>
    </xf>
    <xf numFmtId="0" fontId="10" fillId="0" borderId="3" xfId="9" applyFont="1" applyFill="1" applyBorder="1" applyAlignment="1">
      <alignment horizontal="center" vertical="center"/>
    </xf>
    <xf numFmtId="0" fontId="10" fillId="0" borderId="18" xfId="9" applyFont="1" applyFill="1" applyBorder="1" applyAlignment="1">
      <alignment horizontal="center" vertical="center"/>
    </xf>
    <xf numFmtId="0" fontId="10" fillId="0" borderId="17" xfId="9" applyFont="1" applyBorder="1" applyAlignment="1">
      <alignment vertical="center"/>
    </xf>
    <xf numFmtId="0" fontId="3" fillId="0" borderId="2" xfId="9" applyFont="1" applyBorder="1" applyAlignment="1">
      <alignment vertical="center"/>
    </xf>
    <xf numFmtId="0" fontId="10" fillId="0" borderId="8" xfId="9" applyFont="1" applyBorder="1" applyAlignment="1">
      <alignment vertical="center"/>
    </xf>
    <xf numFmtId="0" fontId="10" fillId="0" borderId="6" xfId="0" applyFont="1" applyFill="1" applyBorder="1" applyAlignment="1">
      <alignment horizontal="center" vertical="center"/>
    </xf>
    <xf numFmtId="0" fontId="10" fillId="0" borderId="3" xfId="0" applyFont="1" applyBorder="1" applyAlignment="1">
      <alignment horizontal="center"/>
    </xf>
    <xf numFmtId="0" fontId="10" fillId="0" borderId="20" xfId="0" applyFont="1" applyFill="1" applyBorder="1" applyAlignment="1">
      <alignment vertical="center"/>
    </xf>
    <xf numFmtId="0" fontId="3" fillId="0" borderId="0" xfId="0" applyFont="1" applyAlignment="1"/>
    <xf numFmtId="0" fontId="12" fillId="0" borderId="0" xfId="0" applyFont="1" applyAlignment="1">
      <alignment vertical="center"/>
    </xf>
    <xf numFmtId="0" fontId="0" fillId="0" borderId="0" xfId="0" applyFill="1" applyAlignment="1">
      <alignment vertical="center"/>
    </xf>
    <xf numFmtId="0" fontId="8" fillId="0" borderId="0" xfId="0" applyFont="1" applyAlignment="1">
      <alignment vertical="center"/>
    </xf>
    <xf numFmtId="0" fontId="8" fillId="0" borderId="0" xfId="0" applyFont="1" applyAlignment="1">
      <alignment horizontal="centerContinuous" vertical="center"/>
    </xf>
    <xf numFmtId="0" fontId="8" fillId="0" borderId="0" xfId="0" applyFont="1" applyFill="1" applyAlignment="1">
      <alignment vertical="center"/>
    </xf>
    <xf numFmtId="0" fontId="3" fillId="0" borderId="0" xfId="0" applyFont="1" applyFill="1" applyBorder="1" applyAlignment="1">
      <alignment horizontal="center" vertical="center"/>
    </xf>
    <xf numFmtId="176" fontId="3" fillId="0" borderId="0" xfId="0" applyNumberFormat="1" applyFont="1" applyAlignment="1"/>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xf>
    <xf numFmtId="0" fontId="15" fillId="0" borderId="0" xfId="0" applyFont="1" applyFill="1" applyAlignment="1">
      <alignment horizontal="center" vertical="center"/>
    </xf>
    <xf numFmtId="0" fontId="0" fillId="0" borderId="0" xfId="0" applyFill="1" applyBorder="1" applyAlignment="1">
      <alignment vertical="center"/>
    </xf>
    <xf numFmtId="0" fontId="15" fillId="0" borderId="0" xfId="9" applyFont="1" applyAlignment="1">
      <alignment horizontal="center" vertical="center"/>
    </xf>
    <xf numFmtId="0" fontId="15" fillId="0" borderId="2" xfId="9" applyFont="1" applyBorder="1" applyAlignment="1">
      <alignment horizontal="center" vertical="center"/>
    </xf>
    <xf numFmtId="0" fontId="10" fillId="0" borderId="9" xfId="9" applyFont="1" applyBorder="1" applyAlignment="1">
      <alignment vertical="center"/>
    </xf>
    <xf numFmtId="0" fontId="10" fillId="0" borderId="0" xfId="0" applyFont="1" applyFill="1" applyBorder="1" applyAlignment="1">
      <alignment horizontal="center" vertical="center"/>
    </xf>
    <xf numFmtId="0" fontId="16" fillId="0" borderId="0" xfId="0" applyFont="1" applyBorder="1" applyAlignment="1">
      <alignment horizontal="center" vertical="center"/>
    </xf>
    <xf numFmtId="0" fontId="8" fillId="0" borderId="5" xfId="9" applyFont="1" applyBorder="1" applyAlignment="1">
      <alignment vertical="center" wrapText="1"/>
    </xf>
    <xf numFmtId="0" fontId="9" fillId="0" borderId="21" xfId="9" applyFont="1" applyBorder="1" applyAlignment="1">
      <alignment horizontal="right" vertical="center"/>
    </xf>
    <xf numFmtId="0" fontId="9" fillId="0" borderId="22" xfId="9" applyFont="1" applyBorder="1" applyAlignment="1">
      <alignment horizontal="right" vertical="center"/>
    </xf>
    <xf numFmtId="0" fontId="9" fillId="0" borderId="20" xfId="9" applyFont="1" applyBorder="1" applyAlignment="1">
      <alignment horizontal="right" vertical="center"/>
    </xf>
    <xf numFmtId="0" fontId="9" fillId="0" borderId="5" xfId="9" applyFont="1" applyBorder="1" applyAlignment="1">
      <alignment horizontal="right" vertical="center"/>
    </xf>
    <xf numFmtId="0" fontId="9" fillId="0" borderId="23" xfId="9" applyFont="1" applyBorder="1" applyAlignment="1">
      <alignment horizontal="right" vertical="center"/>
    </xf>
    <xf numFmtId="0" fontId="9" fillId="0" borderId="24" xfId="9" applyFont="1" applyBorder="1" applyAlignment="1">
      <alignment horizontal="right" vertical="center"/>
    </xf>
    <xf numFmtId="0" fontId="9" fillId="0" borderId="0" xfId="9" applyFont="1" applyAlignment="1">
      <alignment horizontal="right" vertical="center"/>
    </xf>
    <xf numFmtId="0" fontId="19" fillId="0" borderId="0" xfId="0" applyFont="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10" fillId="2" borderId="25" xfId="0" applyFont="1" applyFill="1" applyBorder="1" applyAlignment="1" applyProtection="1">
      <alignment vertical="center"/>
      <protection locked="0"/>
    </xf>
    <xf numFmtId="0" fontId="8" fillId="0" borderId="0" xfId="0" applyFont="1" applyBorder="1" applyAlignment="1">
      <alignment vertical="center"/>
    </xf>
    <xf numFmtId="0" fontId="8" fillId="0" borderId="17" xfId="0" applyFont="1" applyBorder="1"/>
    <xf numFmtId="0" fontId="20" fillId="0" borderId="15" xfId="9" applyFont="1" applyBorder="1" applyAlignment="1">
      <alignment vertical="center" wrapText="1"/>
    </xf>
    <xf numFmtId="0" fontId="21" fillId="0" borderId="15" xfId="9" applyFont="1" applyBorder="1" applyAlignment="1">
      <alignment vertical="center" wrapText="1"/>
    </xf>
    <xf numFmtId="0" fontId="21" fillId="0" borderId="0" xfId="9" applyFont="1" applyBorder="1" applyAlignment="1">
      <alignment vertical="center" wrapText="1"/>
    </xf>
    <xf numFmtId="0" fontId="21" fillId="0" borderId="4" xfId="9" applyFont="1" applyBorder="1" applyAlignment="1">
      <alignment vertical="center" wrapText="1"/>
    </xf>
    <xf numFmtId="0" fontId="12" fillId="0" borderId="0" xfId="0" applyFont="1" applyAlignment="1">
      <alignment horizontal="centerContinuous" vertical="center"/>
    </xf>
    <xf numFmtId="0" fontId="22" fillId="0" borderId="0" xfId="0" quotePrefix="1" applyFont="1" applyAlignment="1">
      <alignment vertical="center"/>
    </xf>
    <xf numFmtId="0" fontId="12" fillId="0" borderId="0" xfId="9" applyFont="1" applyAlignment="1">
      <alignment vertical="center"/>
    </xf>
    <xf numFmtId="0" fontId="21" fillId="0" borderId="26" xfId="9"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vertical="center"/>
    </xf>
    <xf numFmtId="0" fontId="10" fillId="2" borderId="27" xfId="9" applyFont="1" applyFill="1" applyBorder="1" applyAlignment="1" applyProtection="1">
      <alignment vertical="center"/>
      <protection locked="0"/>
    </xf>
    <xf numFmtId="0" fontId="22" fillId="0" borderId="0" xfId="0" applyFont="1" applyAlignment="1">
      <alignment horizontal="centerContinuous" vertical="center"/>
    </xf>
    <xf numFmtId="0" fontId="22" fillId="0" borderId="0" xfId="0" applyFont="1" applyAlignment="1">
      <alignment vertical="center"/>
    </xf>
    <xf numFmtId="0" fontId="10" fillId="0" borderId="0" xfId="0" applyFont="1" applyAlignment="1">
      <alignment horizontal="center" vertical="center"/>
    </xf>
    <xf numFmtId="0" fontId="10" fillId="0" borderId="20" xfId="0" applyFont="1" applyBorder="1" applyAlignment="1">
      <alignment vertical="center"/>
    </xf>
    <xf numFmtId="0" fontId="10" fillId="0" borderId="0" xfId="0" applyFont="1" applyBorder="1" applyAlignment="1">
      <alignment horizontal="centerContinuous" vertical="center"/>
    </xf>
    <xf numFmtId="0" fontId="10" fillId="0" borderId="0" xfId="0" applyFont="1" applyAlignment="1">
      <alignment horizontal="right" vertical="center"/>
    </xf>
    <xf numFmtId="0" fontId="10" fillId="0" borderId="0" xfId="0" applyFont="1" applyBorder="1" applyAlignment="1">
      <alignment horizontal="center"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15"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Alignment="1">
      <alignment horizontal="center" vertical="center"/>
    </xf>
    <xf numFmtId="0" fontId="10" fillId="2" borderId="31" xfId="0" applyNumberFormat="1"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38" fontId="0" fillId="0" borderId="0" xfId="0" applyNumberFormat="1" applyFill="1" applyBorder="1" applyAlignment="1">
      <alignment vertical="center"/>
    </xf>
    <xf numFmtId="0" fontId="3" fillId="0" borderId="0" xfId="9" applyFont="1" applyBorder="1" applyAlignment="1">
      <alignment vertical="center"/>
    </xf>
    <xf numFmtId="0" fontId="21" fillId="0" borderId="12" xfId="9" applyFont="1" applyBorder="1" applyAlignment="1">
      <alignment vertical="center"/>
    </xf>
    <xf numFmtId="3" fontId="10" fillId="2" borderId="33" xfId="0" applyNumberFormat="1" applyFont="1" applyFill="1" applyBorder="1" applyAlignment="1" applyProtection="1">
      <alignment vertical="center"/>
      <protection locked="0"/>
    </xf>
    <xf numFmtId="3" fontId="10" fillId="2" borderId="25" xfId="0" applyNumberFormat="1" applyFont="1" applyFill="1" applyBorder="1" applyProtection="1">
      <protection locked="0"/>
    </xf>
    <xf numFmtId="0" fontId="16" fillId="0" borderId="0" xfId="0" applyFont="1" applyBorder="1" applyAlignment="1">
      <alignment horizontal="center" vertical="center" wrapText="1"/>
    </xf>
    <xf numFmtId="0" fontId="16" fillId="0" borderId="34" xfId="0" applyFont="1" applyFill="1" applyBorder="1" applyAlignment="1" applyProtection="1">
      <alignment horizontal="center" vertical="center"/>
      <protection hidden="1"/>
    </xf>
    <xf numFmtId="0" fontId="16" fillId="0" borderId="0" xfId="0" applyFont="1" applyFill="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6" fillId="0" borderId="35" xfId="0" applyFont="1" applyFill="1" applyBorder="1" applyAlignment="1" applyProtection="1">
      <alignment horizontal="center" vertical="center"/>
      <protection hidden="1"/>
    </xf>
    <xf numFmtId="0" fontId="16" fillId="0" borderId="36" xfId="0" applyFont="1" applyFill="1" applyBorder="1" applyAlignment="1" applyProtection="1">
      <alignment horizontal="center" vertical="center"/>
      <protection hidden="1"/>
    </xf>
    <xf numFmtId="0" fontId="10" fillId="0" borderId="0" xfId="0" applyFont="1" applyFill="1" applyAlignment="1">
      <alignment horizontal="right" vertical="center"/>
    </xf>
    <xf numFmtId="0" fontId="10" fillId="0" borderId="0" xfId="0" applyFont="1" applyBorder="1" applyAlignment="1">
      <alignment horizontal="right" vertical="center"/>
    </xf>
    <xf numFmtId="0" fontId="16" fillId="0" borderId="0" xfId="0" applyFont="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6" fillId="0" borderId="0" xfId="0" applyFont="1" applyBorder="1" applyAlignment="1" applyProtection="1">
      <alignment horizontal="center" vertical="center"/>
      <protection hidden="1"/>
    </xf>
    <xf numFmtId="38" fontId="3" fillId="3" borderId="1" xfId="2" applyFont="1" applyFill="1" applyBorder="1" applyAlignment="1" applyProtection="1">
      <alignment vertical="center"/>
      <protection hidden="1"/>
    </xf>
    <xf numFmtId="38" fontId="3" fillId="3" borderId="1" xfId="2" applyFill="1" applyBorder="1" applyAlignment="1" applyProtection="1">
      <alignment vertical="center"/>
      <protection hidden="1"/>
    </xf>
    <xf numFmtId="0" fontId="3" fillId="0" borderId="1" xfId="0" applyFont="1" applyFill="1" applyBorder="1" applyAlignment="1" applyProtection="1">
      <alignment horizontal="center" vertical="center"/>
      <protection hidden="1"/>
    </xf>
    <xf numFmtId="0" fontId="3" fillId="0" borderId="31" xfId="0" applyFont="1" applyFill="1" applyBorder="1" applyAlignment="1" applyProtection="1">
      <alignment horizontal="center" vertical="center"/>
      <protection hidden="1"/>
    </xf>
    <xf numFmtId="0" fontId="3" fillId="0" borderId="21" xfId="0" applyFont="1" applyFill="1" applyBorder="1" applyAlignment="1" applyProtection="1">
      <alignment horizontal="center" vertical="center"/>
      <protection hidden="1"/>
    </xf>
    <xf numFmtId="0" fontId="15" fillId="0" borderId="10" xfId="0" applyFont="1" applyFill="1" applyBorder="1" applyAlignment="1" applyProtection="1">
      <alignment horizontal="center" vertical="center"/>
      <protection hidden="1"/>
    </xf>
    <xf numFmtId="0" fontId="15" fillId="0" borderId="37" xfId="9" applyFont="1" applyBorder="1" applyAlignment="1" applyProtection="1">
      <alignment horizontal="center" vertical="center"/>
      <protection hidden="1"/>
    </xf>
    <xf numFmtId="0" fontId="15" fillId="0" borderId="27" xfId="9" applyFont="1" applyBorder="1" applyAlignment="1" applyProtection="1">
      <alignment horizontal="center" vertical="center"/>
      <protection hidden="1"/>
    </xf>
    <xf numFmtId="3" fontId="10" fillId="3" borderId="25" xfId="0" applyNumberFormat="1" applyFont="1" applyFill="1" applyBorder="1" applyAlignment="1" applyProtection="1">
      <alignment vertical="center"/>
      <protection hidden="1"/>
    </xf>
    <xf numFmtId="0" fontId="10" fillId="0" borderId="29" xfId="9" applyFont="1" applyBorder="1" applyAlignment="1" applyProtection="1">
      <alignment vertical="center"/>
      <protection hidden="1"/>
    </xf>
    <xf numFmtId="0" fontId="15" fillId="0" borderId="38" xfId="9" applyFont="1" applyBorder="1" applyAlignment="1" applyProtection="1">
      <alignment horizontal="center" vertical="center"/>
      <protection hidden="1"/>
    </xf>
    <xf numFmtId="0" fontId="10" fillId="0" borderId="30" xfId="9" applyFont="1" applyBorder="1" applyAlignment="1" applyProtection="1">
      <alignment vertical="center"/>
      <protection hidden="1"/>
    </xf>
    <xf numFmtId="0" fontId="15" fillId="0" borderId="28" xfId="9" applyFont="1" applyBorder="1" applyAlignment="1" applyProtection="1">
      <alignment horizontal="center" vertical="center"/>
      <protection hidden="1"/>
    </xf>
    <xf numFmtId="0" fontId="10" fillId="0" borderId="39" xfId="9" applyFont="1" applyBorder="1" applyAlignment="1" applyProtection="1">
      <alignment vertical="center"/>
      <protection hidden="1"/>
    </xf>
    <xf numFmtId="0" fontId="10" fillId="0" borderId="3" xfId="9" applyFont="1" applyBorder="1" applyAlignment="1" applyProtection="1">
      <alignment vertical="center"/>
      <protection hidden="1"/>
    </xf>
    <xf numFmtId="0" fontId="15" fillId="0" borderId="40" xfId="9" applyFont="1" applyBorder="1" applyAlignment="1" applyProtection="1">
      <alignment horizontal="center" vertical="center"/>
      <protection hidden="1"/>
    </xf>
    <xf numFmtId="0" fontId="10" fillId="0" borderId="41" xfId="9" applyFont="1" applyBorder="1" applyAlignment="1" applyProtection="1">
      <alignment vertical="center"/>
      <protection hidden="1"/>
    </xf>
    <xf numFmtId="0" fontId="10" fillId="0" borderId="18" xfId="9" applyFont="1" applyBorder="1" applyAlignment="1" applyProtection="1">
      <alignment vertical="center"/>
      <protection hidden="1"/>
    </xf>
    <xf numFmtId="0" fontId="15" fillId="0" borderId="42" xfId="9" applyFont="1" applyBorder="1" applyAlignment="1" applyProtection="1">
      <alignment horizontal="center" vertical="center"/>
      <protection hidden="1"/>
    </xf>
    <xf numFmtId="0" fontId="10" fillId="0" borderId="0" xfId="0" applyFont="1" applyBorder="1" applyAlignment="1" applyProtection="1">
      <alignment vertical="center"/>
      <protection hidden="1"/>
    </xf>
    <xf numFmtId="0" fontId="0" fillId="0" borderId="0" xfId="0" applyAlignment="1" applyProtection="1">
      <alignment horizontal="centerContinuous" vertical="center"/>
      <protection hidden="1"/>
    </xf>
    <xf numFmtId="0" fontId="23" fillId="0" borderId="4" xfId="0" applyFont="1" applyBorder="1" applyAlignment="1" applyProtection="1">
      <alignment vertical="center"/>
      <protection hidden="1"/>
    </xf>
    <xf numFmtId="0" fontId="23" fillId="0" borderId="0" xfId="0" applyFont="1" applyBorder="1" applyAlignment="1" applyProtection="1">
      <alignment vertical="center"/>
      <protection hidden="1"/>
    </xf>
    <xf numFmtId="0" fontId="0" fillId="0" borderId="7" xfId="0" applyBorder="1" applyAlignment="1" applyProtection="1">
      <alignment horizontal="center" vertical="center"/>
      <protection hidden="1"/>
    </xf>
    <xf numFmtId="0" fontId="16" fillId="0" borderId="43" xfId="0" applyFont="1" applyBorder="1" applyAlignment="1" applyProtection="1">
      <alignment horizontal="center" vertical="center"/>
      <protection hidden="1"/>
    </xf>
    <xf numFmtId="180" fontId="3" fillId="2" borderId="27" xfId="9" applyNumberFormat="1" applyFont="1" applyFill="1" applyBorder="1" applyAlignment="1" applyProtection="1">
      <alignment vertical="center"/>
      <protection locked="0"/>
    </xf>
    <xf numFmtId="178" fontId="3" fillId="2" borderId="28" xfId="9" applyNumberFormat="1" applyFont="1" applyFill="1" applyBorder="1" applyAlignment="1" applyProtection="1">
      <alignment vertical="center"/>
      <protection locked="0"/>
    </xf>
    <xf numFmtId="0" fontId="20" fillId="0" borderId="0" xfId="0" applyFont="1" applyAlignment="1" applyProtection="1">
      <alignment vertical="center"/>
      <protection hidden="1"/>
    </xf>
    <xf numFmtId="0" fontId="20" fillId="0" borderId="0" xfId="0" applyFont="1" applyFill="1" applyBorder="1" applyAlignment="1" applyProtection="1">
      <alignment vertical="center"/>
      <protection hidden="1"/>
    </xf>
    <xf numFmtId="0" fontId="10"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0" fillId="0" borderId="0" xfId="0" applyFont="1" applyFill="1" applyBorder="1" applyAlignment="1" applyProtection="1">
      <alignment vertical="center"/>
      <protection hidden="1"/>
    </xf>
    <xf numFmtId="0" fontId="8" fillId="0" borderId="0" xfId="0" applyFont="1" applyFill="1" applyBorder="1" applyAlignment="1" applyProtection="1">
      <alignment vertical="center"/>
      <protection hidden="1"/>
    </xf>
    <xf numFmtId="0" fontId="10" fillId="0" borderId="0" xfId="0" applyFont="1" applyFill="1" applyBorder="1" applyAlignment="1">
      <alignment horizontal="centerContinuous" vertical="center"/>
    </xf>
    <xf numFmtId="0" fontId="10" fillId="0" borderId="0" xfId="0" applyFont="1" applyBorder="1" applyAlignment="1" applyProtection="1">
      <alignment horizontal="centerContinuous" vertical="center"/>
      <protection hidden="1"/>
    </xf>
    <xf numFmtId="0" fontId="10" fillId="0" borderId="0" xfId="0" applyNumberFormat="1" applyFont="1" applyFill="1" applyBorder="1" applyAlignment="1" applyProtection="1">
      <protection hidden="1"/>
    </xf>
    <xf numFmtId="0" fontId="0" fillId="0" borderId="0" xfId="0" applyBorder="1" applyAlignment="1"/>
    <xf numFmtId="0" fontId="8" fillId="0" borderId="0" xfId="0" applyFont="1" applyFill="1" applyBorder="1" applyAlignment="1" applyProtection="1">
      <alignment horizontal="centerContinuous" vertical="center"/>
      <protection hidden="1"/>
    </xf>
    <xf numFmtId="0" fontId="10" fillId="0" borderId="0" xfId="0" applyFont="1" applyAlignment="1">
      <alignment horizontal="left" vertical="center" indent="4"/>
    </xf>
    <xf numFmtId="0" fontId="10" fillId="0" borderId="0" xfId="9" applyFont="1" applyAlignment="1">
      <alignment horizontal="left" vertical="center" indent="7"/>
    </xf>
    <xf numFmtId="0" fontId="8" fillId="0" borderId="17" xfId="0" applyFont="1" applyBorder="1" applyAlignment="1" applyProtection="1">
      <alignment vertical="center"/>
      <protection hidden="1"/>
    </xf>
    <xf numFmtId="0" fontId="8" fillId="0" borderId="4"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2" borderId="5"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25" xfId="0" applyFont="1" applyFill="1" applyBorder="1" applyAlignment="1" applyProtection="1">
      <alignment horizontal="right" vertical="center"/>
      <protection locked="0"/>
    </xf>
    <xf numFmtId="0" fontId="3" fillId="2" borderId="38" xfId="9" applyFont="1" applyFill="1" applyBorder="1" applyAlignment="1" applyProtection="1">
      <alignment horizontal="center" vertical="center"/>
      <protection locked="0"/>
    </xf>
    <xf numFmtId="0" fontId="3" fillId="2" borderId="37" xfId="9" applyFont="1" applyFill="1" applyBorder="1" applyAlignment="1" applyProtection="1">
      <alignment horizontal="center" vertical="center"/>
      <protection locked="0"/>
    </xf>
    <xf numFmtId="0" fontId="10" fillId="2" borderId="37" xfId="9" applyFont="1" applyFill="1" applyBorder="1" applyAlignment="1" applyProtection="1">
      <alignment horizontal="center" vertical="center"/>
      <protection locked="0"/>
    </xf>
    <xf numFmtId="0" fontId="26" fillId="0" borderId="0" xfId="0" applyFont="1" applyFill="1" applyAlignment="1" applyProtection="1">
      <alignment vertical="center"/>
      <protection hidden="1"/>
    </xf>
    <xf numFmtId="0" fontId="10" fillId="0" borderId="0" xfId="0" applyFont="1" applyBorder="1" applyAlignment="1">
      <alignment horizontal="center"/>
    </xf>
    <xf numFmtId="0" fontId="8" fillId="0" borderId="0" xfId="0" applyFont="1" applyBorder="1"/>
    <xf numFmtId="0" fontId="8" fillId="0" borderId="45" xfId="0" applyFont="1" applyFill="1" applyBorder="1" applyAlignment="1">
      <alignment vertical="center"/>
    </xf>
    <xf numFmtId="0" fontId="15" fillId="0" borderId="16" xfId="0" applyFont="1" applyFill="1" applyBorder="1" applyAlignment="1" applyProtection="1">
      <alignment horizontal="center" vertical="center"/>
      <protection hidden="1"/>
    </xf>
    <xf numFmtId="0" fontId="12" fillId="0" borderId="0" xfId="0" applyFont="1" applyFill="1" applyAlignment="1">
      <alignment vertical="center"/>
    </xf>
    <xf numFmtId="0" fontId="22" fillId="0" borderId="0" xfId="0" applyFont="1" applyBorder="1" applyAlignment="1" applyProtection="1">
      <alignment vertical="center"/>
      <protection hidden="1"/>
    </xf>
    <xf numFmtId="0" fontId="10" fillId="0" borderId="2" xfId="0" applyFont="1" applyBorder="1" applyAlignment="1">
      <alignment horizontal="centerContinuous" vertical="center"/>
    </xf>
    <xf numFmtId="0" fontId="10" fillId="0" borderId="0" xfId="0" applyFont="1" applyAlignment="1">
      <alignment horizontal="right"/>
    </xf>
    <xf numFmtId="0" fontId="7" fillId="0" borderId="8" xfId="0" applyFont="1" applyFill="1" applyBorder="1" applyAlignment="1">
      <alignment horizontal="center" vertical="center"/>
    </xf>
    <xf numFmtId="49" fontId="7" fillId="0" borderId="2" xfId="0" applyNumberFormat="1" applyFont="1" applyBorder="1" applyAlignment="1">
      <alignment horizontal="left" vertical="center"/>
    </xf>
    <xf numFmtId="0" fontId="7" fillId="0" borderId="2" xfId="0" applyFont="1" applyBorder="1" applyAlignment="1">
      <alignment vertical="center"/>
    </xf>
    <xf numFmtId="0" fontId="7" fillId="0" borderId="1" xfId="0" applyFont="1" applyBorder="1" applyAlignment="1">
      <alignment vertical="center"/>
    </xf>
    <xf numFmtId="0" fontId="10" fillId="0" borderId="0" xfId="11" applyFont="1" applyAlignment="1" applyProtection="1">
      <alignment horizontal="left" vertical="center"/>
    </xf>
    <xf numFmtId="0" fontId="10" fillId="0" borderId="0" xfId="11" applyFont="1" applyProtection="1">
      <alignment vertical="center"/>
    </xf>
    <xf numFmtId="0" fontId="10" fillId="0" borderId="0" xfId="11" applyFont="1" applyAlignment="1" applyProtection="1">
      <alignment horizontal="center" vertical="center"/>
    </xf>
    <xf numFmtId="0" fontId="10" fillId="0" borderId="0" xfId="11" applyFont="1" applyBorder="1" applyAlignment="1" applyProtection="1">
      <alignment horizontal="left" vertical="center"/>
    </xf>
    <xf numFmtId="0" fontId="10" fillId="0" borderId="0" xfId="11" applyFont="1" applyFill="1" applyBorder="1" applyAlignment="1" applyProtection="1">
      <alignment horizontal="left" vertical="center"/>
    </xf>
    <xf numFmtId="0" fontId="10" fillId="0" borderId="46" xfId="11" applyFont="1" applyBorder="1" applyAlignment="1" applyProtection="1">
      <alignment horizontal="center" vertical="center"/>
    </xf>
    <xf numFmtId="0" fontId="10" fillId="0" borderId="2" xfId="11" applyFont="1" applyBorder="1" applyProtection="1">
      <alignment vertical="center"/>
    </xf>
    <xf numFmtId="0" fontId="10" fillId="0" borderId="7" xfId="11" applyFont="1" applyBorder="1" applyAlignment="1" applyProtection="1">
      <alignment horizontal="center" vertical="center"/>
    </xf>
    <xf numFmtId="0" fontId="10" fillId="0" borderId="8" xfId="11" applyFont="1" applyBorder="1" applyAlignment="1" applyProtection="1">
      <alignment vertical="center"/>
    </xf>
    <xf numFmtId="0" fontId="10" fillId="0" borderId="1" xfId="11" applyFont="1" applyBorder="1" applyAlignment="1" applyProtection="1">
      <alignment vertical="center"/>
    </xf>
    <xf numFmtId="0" fontId="10" fillId="0" borderId="8" xfId="11" applyFont="1" applyBorder="1" applyAlignment="1" applyProtection="1">
      <alignment horizontal="left" vertical="center"/>
    </xf>
    <xf numFmtId="0" fontId="10" fillId="0" borderId="1" xfId="11" applyFont="1" applyBorder="1" applyProtection="1">
      <alignment vertical="center"/>
    </xf>
    <xf numFmtId="0" fontId="10" fillId="0" borderId="0" xfId="11" applyFont="1" applyBorder="1" applyProtection="1">
      <alignment vertical="center"/>
    </xf>
    <xf numFmtId="38" fontId="10" fillId="0" borderId="1" xfId="2" applyFont="1" applyBorder="1" applyAlignment="1" applyProtection="1">
      <alignment vertical="center"/>
    </xf>
    <xf numFmtId="0" fontId="10" fillId="0" borderId="8"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7" fillId="0" borderId="0" xfId="0" applyFont="1" applyFill="1" applyAlignment="1">
      <alignment vertical="center"/>
    </xf>
    <xf numFmtId="0" fontId="7" fillId="0" borderId="0" xfId="0" applyFont="1" applyFill="1" applyBorder="1" applyAlignment="1">
      <alignment vertical="center"/>
    </xf>
    <xf numFmtId="0" fontId="7" fillId="0" borderId="8" xfId="0" applyFont="1" applyBorder="1" applyAlignment="1" applyProtection="1">
      <alignment vertical="center"/>
      <protection hidden="1"/>
    </xf>
    <xf numFmtId="0" fontId="7" fillId="0" borderId="0" xfId="0" applyFont="1" applyFill="1" applyAlignment="1">
      <alignment horizontal="centerContinuous"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Continuous" vertical="center"/>
    </xf>
    <xf numFmtId="0" fontId="7" fillId="0" borderId="0" xfId="0" applyFont="1" applyBorder="1" applyAlignment="1">
      <alignment horizontal="centerContinuous" vertical="center"/>
    </xf>
    <xf numFmtId="0" fontId="7" fillId="0" borderId="5" xfId="0" applyFont="1" applyFill="1" applyBorder="1" applyAlignment="1">
      <alignment vertical="center"/>
    </xf>
    <xf numFmtId="0" fontId="7" fillId="0" borderId="20" xfId="0" applyFont="1" applyFill="1" applyBorder="1" applyAlignment="1">
      <alignment vertical="center"/>
    </xf>
    <xf numFmtId="0" fontId="7" fillId="0" borderId="47" xfId="0" applyFont="1" applyFill="1" applyBorder="1" applyAlignment="1">
      <alignment vertical="center"/>
    </xf>
    <xf numFmtId="0" fontId="7" fillId="0" borderId="48" xfId="0" applyFont="1" applyFill="1" applyBorder="1" applyAlignment="1">
      <alignment vertical="center"/>
    </xf>
    <xf numFmtId="0" fontId="7" fillId="0" borderId="37" xfId="0" applyFont="1" applyFill="1" applyBorder="1" applyAlignment="1">
      <alignment vertical="center"/>
    </xf>
    <xf numFmtId="0" fontId="7" fillId="0" borderId="0" xfId="0" applyFont="1" applyBorder="1"/>
    <xf numFmtId="0" fontId="7" fillId="0" borderId="0" xfId="0" applyFont="1" applyBorder="1" applyAlignment="1">
      <alignment horizontal="center" vertical="center"/>
    </xf>
    <xf numFmtId="0" fontId="7" fillId="0" borderId="18" xfId="0" applyFont="1" applyBorder="1"/>
    <xf numFmtId="0" fontId="7" fillId="0" borderId="17" xfId="0" applyFont="1" applyBorder="1"/>
    <xf numFmtId="0" fontId="7" fillId="0" borderId="17" xfId="0" applyFont="1" applyBorder="1" applyAlignment="1">
      <alignment horizontal="right"/>
    </xf>
    <xf numFmtId="0" fontId="7" fillId="0" borderId="24" xfId="0" applyFont="1" applyFill="1" applyBorder="1" applyAlignment="1">
      <alignment vertical="center"/>
    </xf>
    <xf numFmtId="0" fontId="7" fillId="0" borderId="2" xfId="0" applyFont="1" applyFill="1" applyBorder="1" applyAlignment="1">
      <alignment vertical="center"/>
    </xf>
    <xf numFmtId="0" fontId="7" fillId="0" borderId="36" xfId="11" applyFont="1" applyBorder="1" applyAlignment="1" applyProtection="1">
      <alignment horizontal="center" vertical="center"/>
    </xf>
    <xf numFmtId="0" fontId="7" fillId="0" borderId="49" xfId="11" applyFont="1" applyBorder="1" applyAlignment="1" applyProtection="1">
      <alignment horizontal="center" vertical="center"/>
    </xf>
    <xf numFmtId="49" fontId="10" fillId="0" borderId="8" xfId="11" applyNumberFormat="1" applyFont="1" applyBorder="1" applyAlignment="1" applyProtection="1">
      <alignment horizontal="left" vertical="center"/>
    </xf>
    <xf numFmtId="0" fontId="10" fillId="0" borderId="0" xfId="11" applyFont="1" applyAlignment="1" applyProtection="1">
      <alignment vertical="center"/>
    </xf>
    <xf numFmtId="0" fontId="7" fillId="0" borderId="8" xfId="0" applyFont="1" applyFill="1" applyBorder="1" applyAlignment="1">
      <alignment vertical="center"/>
    </xf>
    <xf numFmtId="0" fontId="10" fillId="0" borderId="1" xfId="0" applyFont="1" applyBorder="1" applyAlignment="1" applyProtection="1">
      <alignment vertical="center"/>
      <protection hidden="1"/>
    </xf>
    <xf numFmtId="0" fontId="10" fillId="0" borderId="2" xfId="0" applyFont="1" applyBorder="1" applyAlignment="1" applyProtection="1">
      <alignment vertical="center"/>
      <protection hidden="1"/>
    </xf>
    <xf numFmtId="0" fontId="10" fillId="0" borderId="50" xfId="11" applyFont="1" applyBorder="1" applyAlignment="1" applyProtection="1">
      <alignment vertical="center"/>
      <protection hidden="1"/>
    </xf>
    <xf numFmtId="0" fontId="28" fillId="0" borderId="0" xfId="0" applyFont="1" applyAlignment="1">
      <alignment vertical="center"/>
    </xf>
    <xf numFmtId="0" fontId="10" fillId="0" borderId="0" xfId="11" applyFont="1" applyFill="1" applyProtection="1">
      <alignment vertical="center"/>
    </xf>
    <xf numFmtId="38" fontId="0" fillId="0" borderId="1" xfId="2" applyFont="1" applyBorder="1" applyAlignment="1">
      <alignment horizontal="left" vertical="center"/>
    </xf>
    <xf numFmtId="0" fontId="10" fillId="0" borderId="0" xfId="11" applyFont="1" applyBorder="1" applyAlignment="1" applyProtection="1">
      <alignment vertical="center" wrapText="1"/>
    </xf>
    <xf numFmtId="0" fontId="22" fillId="0" borderId="7" xfId="11" applyFont="1" applyBorder="1" applyAlignment="1" applyProtection="1">
      <alignment horizontal="center" vertical="center"/>
    </xf>
    <xf numFmtId="0" fontId="23" fillId="0" borderId="0" xfId="11" applyFont="1" applyAlignment="1" applyProtection="1">
      <alignment horizontal="left" vertical="center" indent="1"/>
    </xf>
    <xf numFmtId="0" fontId="23" fillId="0" borderId="0" xfId="11" applyFont="1" applyProtection="1">
      <alignment vertical="center"/>
    </xf>
    <xf numFmtId="0" fontId="23" fillId="0" borderId="0" xfId="11" applyFont="1" applyAlignment="1" applyProtection="1">
      <alignment vertical="center"/>
    </xf>
    <xf numFmtId="0" fontId="23" fillId="0" borderId="0" xfId="0" applyFont="1" applyAlignment="1" applyProtection="1">
      <alignment vertical="center"/>
      <protection hidden="1"/>
    </xf>
    <xf numFmtId="0" fontId="27" fillId="0" borderId="0" xfId="0" applyFont="1" applyFill="1" applyAlignment="1">
      <alignment horizontal="right"/>
    </xf>
    <xf numFmtId="0" fontId="28" fillId="0" borderId="3" xfId="0" applyFont="1" applyBorder="1" applyAlignment="1">
      <alignment vertical="center"/>
    </xf>
    <xf numFmtId="0" fontId="23" fillId="0" borderId="0" xfId="10" applyFont="1" applyAlignment="1">
      <alignment vertical="center"/>
    </xf>
    <xf numFmtId="0" fontId="23" fillId="0" borderId="0" xfId="10" applyFont="1" applyBorder="1" applyAlignment="1">
      <alignment vertical="center"/>
    </xf>
    <xf numFmtId="0" fontId="23" fillId="0" borderId="0" xfId="10" applyFont="1" applyBorder="1" applyAlignment="1">
      <alignment horizontal="center" vertical="center"/>
    </xf>
    <xf numFmtId="0" fontId="10" fillId="0" borderId="0" xfId="10" applyFont="1" applyBorder="1" applyAlignment="1">
      <alignment vertical="center"/>
    </xf>
    <xf numFmtId="0" fontId="10" fillId="0" borderId="0" xfId="10" applyFont="1" applyAlignment="1">
      <alignment vertical="center"/>
    </xf>
    <xf numFmtId="0" fontId="24" fillId="0" borderId="0" xfId="0" applyFont="1" applyAlignment="1">
      <alignment vertical="center"/>
    </xf>
    <xf numFmtId="0" fontId="7" fillId="0" borderId="0" xfId="0" applyFont="1" applyAlignment="1">
      <alignment horizontal="left" vertical="center" indent="1"/>
    </xf>
    <xf numFmtId="0" fontId="10" fillId="0" borderId="0" xfId="0" applyFont="1" applyAlignment="1">
      <alignment horizontal="left" vertical="center" indent="1"/>
    </xf>
    <xf numFmtId="0" fontId="24" fillId="0" borderId="0" xfId="0" applyFont="1" applyFill="1" applyAlignment="1">
      <alignment vertical="center"/>
    </xf>
    <xf numFmtId="0" fontId="23" fillId="0" borderId="0" xfId="10" applyFont="1" applyFill="1" applyAlignment="1">
      <alignment vertical="center"/>
    </xf>
    <xf numFmtId="0" fontId="23" fillId="0" borderId="0" xfId="10" applyFont="1" applyFill="1" applyBorder="1" applyAlignment="1">
      <alignment vertical="center"/>
    </xf>
    <xf numFmtId="0" fontId="27" fillId="0" borderId="0" xfId="10" applyFont="1" applyAlignment="1">
      <alignment vertical="center"/>
    </xf>
    <xf numFmtId="0" fontId="10" fillId="0" borderId="0" xfId="10" applyFont="1" applyAlignment="1">
      <alignment vertical="center" wrapText="1"/>
    </xf>
    <xf numFmtId="182" fontId="10" fillId="3" borderId="7" xfId="0" applyNumberFormat="1" applyFont="1" applyFill="1" applyBorder="1" applyAlignment="1">
      <alignment horizontal="right" vertical="center"/>
    </xf>
    <xf numFmtId="0" fontId="10" fillId="0" borderId="8" xfId="0" applyFont="1" applyBorder="1" applyAlignment="1">
      <alignment vertical="center"/>
    </xf>
    <xf numFmtId="0" fontId="10" fillId="0" borderId="1" xfId="0" applyFont="1" applyBorder="1" applyAlignment="1">
      <alignment horizontal="centerContinuous" vertical="center"/>
    </xf>
    <xf numFmtId="0" fontId="10" fillId="0" borderId="5" xfId="0" applyFont="1" applyBorder="1" applyAlignment="1">
      <alignment horizontal="centerContinuous" vertical="center" wrapText="1"/>
    </xf>
    <xf numFmtId="0" fontId="10" fillId="0" borderId="46" xfId="0" applyFont="1" applyBorder="1" applyAlignment="1">
      <alignment horizontal="center" vertical="center" wrapText="1"/>
    </xf>
    <xf numFmtId="0" fontId="10" fillId="0" borderId="2" xfId="0" applyFont="1" applyFill="1" applyBorder="1" applyAlignment="1">
      <alignment horizontal="centerContinuous" vertical="center"/>
    </xf>
    <xf numFmtId="0" fontId="7" fillId="0" borderId="10" xfId="0" applyFont="1" applyBorder="1" applyAlignment="1">
      <alignment vertical="center"/>
    </xf>
    <xf numFmtId="0" fontId="10" fillId="0" borderId="10" xfId="0" applyFont="1" applyBorder="1" applyAlignment="1">
      <alignment vertical="center"/>
    </xf>
    <xf numFmtId="0" fontId="10" fillId="0" borderId="29" xfId="0" applyFont="1" applyBorder="1" applyAlignment="1">
      <alignment vertical="center"/>
    </xf>
    <xf numFmtId="0" fontId="10" fillId="0" borderId="15" xfId="0" applyFont="1" applyBorder="1" applyAlignment="1">
      <alignment vertical="center"/>
    </xf>
    <xf numFmtId="0" fontId="18" fillId="3" borderId="52" xfId="0" applyFont="1" applyFill="1" applyBorder="1" applyAlignment="1">
      <alignment horizontal="center" vertical="center"/>
    </xf>
    <xf numFmtId="0" fontId="0" fillId="0" borderId="5" xfId="0" applyBorder="1"/>
    <xf numFmtId="0" fontId="10" fillId="2" borderId="51" xfId="0" applyNumberFormat="1" applyFont="1" applyFill="1" applyBorder="1" applyAlignment="1" applyProtection="1">
      <alignment vertical="center" wrapText="1"/>
      <protection locked="0"/>
    </xf>
    <xf numFmtId="182" fontId="10" fillId="3" borderId="7" xfId="0" applyNumberFormat="1" applyFont="1" applyFill="1" applyBorder="1" applyAlignment="1" applyProtection="1">
      <alignment vertical="center"/>
      <protection hidden="1"/>
    </xf>
    <xf numFmtId="0" fontId="28" fillId="0" borderId="0" xfId="0" applyFont="1" applyFill="1" applyAlignment="1">
      <alignment vertical="center"/>
    </xf>
    <xf numFmtId="0" fontId="10" fillId="0" borderId="0" xfId="0" applyFont="1" applyBorder="1" applyAlignment="1">
      <alignment horizontal="left" vertical="center" indent="1"/>
    </xf>
    <xf numFmtId="0" fontId="7" fillId="0" borderId="0" xfId="10" applyFont="1" applyAlignment="1">
      <alignment vertical="center"/>
    </xf>
    <xf numFmtId="0" fontId="31" fillId="0" borderId="34" xfId="10" applyFont="1" applyBorder="1" applyAlignment="1">
      <alignment horizontal="center" vertical="center"/>
    </xf>
    <xf numFmtId="0" fontId="12" fillId="0" borderId="0" xfId="10" applyFont="1" applyFill="1" applyAlignment="1">
      <alignment vertical="center"/>
    </xf>
    <xf numFmtId="0" fontId="27" fillId="0" borderId="0" xfId="10" applyFont="1" applyFill="1" applyAlignment="1">
      <alignment horizontal="right" vertical="center"/>
    </xf>
    <xf numFmtId="0" fontId="32" fillId="0" borderId="0" xfId="10" applyFont="1" applyFill="1" applyAlignment="1">
      <alignment vertical="center"/>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0" fontId="10" fillId="0" borderId="0" xfId="4" applyFont="1" applyAlignment="1" applyProtection="1">
      <alignment vertical="center"/>
      <protection hidden="1"/>
    </xf>
    <xf numFmtId="0" fontId="7" fillId="0" borderId="0" xfId="0" applyFont="1" applyFill="1" applyAlignment="1" applyProtection="1">
      <alignment vertical="center"/>
      <protection hidden="1"/>
    </xf>
    <xf numFmtId="0" fontId="27" fillId="0" borderId="0" xfId="0" applyFont="1" applyAlignment="1" applyProtection="1">
      <alignment vertical="center"/>
      <protection hidden="1"/>
    </xf>
    <xf numFmtId="38" fontId="7" fillId="2" borderId="1" xfId="2" applyFont="1" applyFill="1" applyBorder="1" applyAlignment="1" applyProtection="1">
      <alignment vertical="center"/>
      <protection locked="0"/>
    </xf>
    <xf numFmtId="49" fontId="7" fillId="0" borderId="8" xfId="0" applyNumberFormat="1" applyFont="1" applyBorder="1" applyAlignment="1">
      <alignment horizontal="center" vertical="center"/>
    </xf>
    <xf numFmtId="49" fontId="7" fillId="0" borderId="3" xfId="0" applyNumberFormat="1" applyFont="1" applyFill="1" applyBorder="1" applyAlignment="1">
      <alignment horizontal="center" vertical="center"/>
    </xf>
    <xf numFmtId="0" fontId="7" fillId="0" borderId="3" xfId="0" applyFont="1" applyFill="1" applyBorder="1" applyAlignment="1">
      <alignment vertical="center"/>
    </xf>
    <xf numFmtId="49" fontId="7" fillId="0" borderId="6"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28" fillId="0" borderId="18"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38" fontId="3" fillId="3" borderId="5" xfId="2" applyFill="1" applyBorder="1" applyAlignment="1" applyProtection="1">
      <alignment vertical="center"/>
      <protection hidden="1"/>
    </xf>
    <xf numFmtId="0" fontId="25" fillId="0" borderId="0" xfId="0" applyFont="1" applyAlignment="1" applyProtection="1">
      <alignment vertical="center"/>
      <protection hidden="1"/>
    </xf>
    <xf numFmtId="0" fontId="28" fillId="0" borderId="0" xfId="0" applyFont="1" applyAlignment="1" applyProtection="1">
      <alignment vertical="center"/>
      <protection hidden="1"/>
    </xf>
    <xf numFmtId="0" fontId="10" fillId="0" borderId="7" xfId="0" applyFont="1" applyBorder="1" applyAlignment="1" applyProtection="1">
      <alignment horizontal="center" vertical="center"/>
      <protection hidden="1"/>
    </xf>
    <xf numFmtId="0" fontId="10" fillId="0" borderId="0" xfId="11" applyFont="1" applyFill="1" applyBorder="1" applyAlignment="1" applyProtection="1">
      <alignment vertical="center" wrapText="1"/>
    </xf>
    <xf numFmtId="0" fontId="10" fillId="0" borderId="0" xfId="0" applyFont="1" applyFill="1" applyAlignment="1" applyProtection="1">
      <alignment vertical="center"/>
    </xf>
    <xf numFmtId="0" fontId="25" fillId="0" borderId="0" xfId="0" applyFont="1" applyAlignment="1" applyProtection="1">
      <alignment horizontal="left" vertical="center"/>
      <protection hidden="1"/>
    </xf>
    <xf numFmtId="0" fontId="23" fillId="0" borderId="6" xfId="0" applyFont="1" applyBorder="1" applyAlignment="1" applyProtection="1">
      <alignment vertical="center"/>
      <protection hidden="1"/>
    </xf>
    <xf numFmtId="0" fontId="23" fillId="0" borderId="5" xfId="0" applyFont="1" applyBorder="1" applyAlignment="1" applyProtection="1">
      <alignment vertical="center"/>
      <protection hidden="1"/>
    </xf>
    <xf numFmtId="0" fontId="23" fillId="0" borderId="7"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0" xfId="0" applyFont="1" applyBorder="1" applyAlignment="1" applyProtection="1">
      <alignment horizontal="center" vertical="center"/>
      <protection hidden="1"/>
    </xf>
    <xf numFmtId="0" fontId="23" fillId="0" borderId="0" xfId="0" quotePrefix="1"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28" fillId="0" borderId="0" xfId="0" applyFont="1" applyBorder="1" applyAlignment="1" applyProtection="1">
      <alignment vertical="center"/>
      <protection hidden="1"/>
    </xf>
    <xf numFmtId="0" fontId="28" fillId="0" borderId="0" xfId="0" applyFont="1" applyBorder="1" applyAlignment="1" applyProtection="1">
      <alignment vertical="center"/>
    </xf>
    <xf numFmtId="0" fontId="12" fillId="0" borderId="8" xfId="0" applyFont="1" applyFill="1" applyBorder="1" applyAlignment="1" applyProtection="1">
      <alignment horizontal="centerContinuous" vertical="center"/>
    </xf>
    <xf numFmtId="0" fontId="28" fillId="0" borderId="2" xfId="0" applyFont="1" applyBorder="1" applyAlignment="1" applyProtection="1">
      <alignment horizontal="centerContinuous" vertical="center"/>
      <protection hidden="1"/>
    </xf>
    <xf numFmtId="0" fontId="28" fillId="0" borderId="1" xfId="0" applyFont="1" applyBorder="1" applyAlignment="1" applyProtection="1">
      <alignment horizontal="centerContinuous" vertical="center"/>
      <protection hidden="1"/>
    </xf>
    <xf numFmtId="181" fontId="22" fillId="0" borderId="7" xfId="11" applyNumberFormat="1" applyFont="1" applyBorder="1" applyAlignment="1" applyProtection="1">
      <alignment horizontal="center" vertical="center"/>
    </xf>
    <xf numFmtId="0" fontId="12" fillId="0" borderId="0" xfId="11" applyFont="1" applyBorder="1" applyAlignment="1" applyProtection="1">
      <alignment vertical="center" wrapText="1"/>
    </xf>
    <xf numFmtId="0" fontId="25" fillId="0" borderId="0" xfId="11" applyFont="1" applyAlignment="1" applyProtection="1"/>
    <xf numFmtId="0" fontId="25" fillId="0" borderId="0" xfId="11" applyFont="1" applyBorder="1" applyAlignment="1" applyProtection="1">
      <alignment vertical="center"/>
    </xf>
    <xf numFmtId="0" fontId="21" fillId="0" borderId="8" xfId="0" applyFont="1" applyBorder="1" applyAlignment="1" applyProtection="1">
      <alignment vertical="center"/>
      <protection hidden="1"/>
    </xf>
    <xf numFmtId="0" fontId="21" fillId="0" borderId="2" xfId="0" applyFont="1" applyBorder="1" applyAlignment="1" applyProtection="1">
      <alignment vertical="center"/>
      <protection hidden="1"/>
    </xf>
    <xf numFmtId="0" fontId="28" fillId="0" borderId="1" xfId="0" applyFont="1" applyBorder="1" applyAlignment="1" applyProtection="1">
      <alignment horizontal="left" vertical="center"/>
      <protection hidden="1"/>
    </xf>
    <xf numFmtId="0" fontId="7" fillId="0" borderId="8" xfId="0" applyFont="1" applyBorder="1" applyAlignment="1" applyProtection="1">
      <alignment horizontal="center" vertical="center" wrapText="1"/>
      <protection hidden="1"/>
    </xf>
    <xf numFmtId="0" fontId="7" fillId="0" borderId="30" xfId="11" applyFont="1" applyBorder="1" applyAlignment="1" applyProtection="1">
      <alignment horizontal="center" vertical="center"/>
    </xf>
    <xf numFmtId="0" fontId="7" fillId="0" borderId="7" xfId="11" applyFont="1" applyBorder="1" applyAlignment="1" applyProtection="1">
      <alignment horizontal="center" vertical="center"/>
    </xf>
    <xf numFmtId="0" fontId="10" fillId="0" borderId="0" xfId="11" applyFont="1" applyFill="1" applyAlignment="1" applyProtection="1">
      <alignment vertical="center" wrapText="1"/>
    </xf>
    <xf numFmtId="0" fontId="10" fillId="0" borderId="0" xfId="4" applyFont="1" applyBorder="1" applyAlignment="1" applyProtection="1">
      <alignment vertical="center"/>
      <protection hidden="1"/>
    </xf>
    <xf numFmtId="0" fontId="10" fillId="0" borderId="0" xfId="11" quotePrefix="1" applyFont="1" applyBorder="1" applyAlignment="1" applyProtection="1">
      <alignment vertical="center" wrapText="1"/>
    </xf>
    <xf numFmtId="0" fontId="10" fillId="0" borderId="0" xfId="4" applyFont="1" applyBorder="1" applyAlignment="1" applyProtection="1">
      <alignment vertical="center" wrapText="1"/>
      <protection hidden="1"/>
    </xf>
    <xf numFmtId="0" fontId="28" fillId="0" borderId="0" xfId="11" applyFont="1" applyBorder="1" applyAlignment="1" applyProtection="1">
      <alignment horizontal="center" vertical="center"/>
    </xf>
    <xf numFmtId="0" fontId="18" fillId="0" borderId="4" xfId="11" applyFont="1" applyBorder="1" applyAlignment="1" applyProtection="1">
      <alignment horizontal="left" vertical="center"/>
    </xf>
    <xf numFmtId="0" fontId="10" fillId="0" borderId="0" xfId="11" applyFont="1" applyFill="1" applyAlignment="1" applyProtection="1">
      <alignment horizontal="center" vertical="center"/>
    </xf>
    <xf numFmtId="0" fontId="7" fillId="0" borderId="0" xfId="11" applyFont="1" applyFill="1" applyBorder="1" applyAlignment="1" applyProtection="1">
      <alignment horizontal="center" vertical="center"/>
    </xf>
    <xf numFmtId="0" fontId="10" fillId="0" borderId="0" xfId="11" applyFont="1" applyFill="1" applyBorder="1" applyAlignment="1" applyProtection="1">
      <alignment vertical="center" wrapText="1"/>
      <protection hidden="1"/>
    </xf>
    <xf numFmtId="0" fontId="0" fillId="0" borderId="0" xfId="0" applyFill="1" applyBorder="1" applyAlignment="1"/>
    <xf numFmtId="0" fontId="18" fillId="0" borderId="0" xfId="11" applyFont="1" applyFill="1" applyBorder="1" applyAlignment="1" applyProtection="1">
      <alignment horizontal="left" vertical="center"/>
    </xf>
    <xf numFmtId="0" fontId="12" fillId="0" borderId="0" xfId="11" applyFont="1" applyFill="1" applyBorder="1" applyAlignment="1" applyProtection="1">
      <alignment horizontal="center" vertical="center" wrapText="1"/>
    </xf>
    <xf numFmtId="0" fontId="10" fillId="0" borderId="0" xfId="11" applyFont="1" applyFill="1" applyBorder="1" applyAlignment="1" applyProtection="1">
      <alignment vertical="center"/>
      <protection hidden="1"/>
    </xf>
    <xf numFmtId="0" fontId="10" fillId="0" borderId="0" xfId="0" applyFont="1" applyFill="1" applyAlignment="1" applyProtection="1">
      <alignment vertical="center"/>
      <protection hidden="1"/>
    </xf>
    <xf numFmtId="0" fontId="7" fillId="0" borderId="7" xfId="0" applyFont="1" applyBorder="1" applyAlignment="1" applyProtection="1">
      <alignment horizontal="center" vertical="center"/>
      <protection hidden="1"/>
    </xf>
    <xf numFmtId="0" fontId="10" fillId="0" borderId="7" xfId="12" applyFont="1" applyBorder="1" applyProtection="1">
      <alignment vertical="center"/>
    </xf>
    <xf numFmtId="0" fontId="7" fillId="0" borderId="7" xfId="0" applyFont="1" applyBorder="1" applyAlignment="1" applyProtection="1">
      <alignment vertical="center"/>
      <protection hidden="1"/>
    </xf>
    <xf numFmtId="0" fontId="10" fillId="0" borderId="8" xfId="12" applyFont="1" applyBorder="1" applyAlignment="1" applyProtection="1">
      <alignment vertical="center" wrapText="1"/>
    </xf>
    <xf numFmtId="0" fontId="10" fillId="0" borderId="6" xfId="12" applyFont="1" applyBorder="1" applyAlignment="1" applyProtection="1">
      <alignment vertical="center" wrapText="1"/>
    </xf>
    <xf numFmtId="0" fontId="10" fillId="0" borderId="0" xfId="11" applyFont="1" applyFill="1" applyBorder="1" applyAlignment="1" applyProtection="1">
      <alignment horizontal="center" vertical="center"/>
    </xf>
    <xf numFmtId="0" fontId="10" fillId="0" borderId="8" xfId="0" applyFont="1" applyFill="1" applyBorder="1" applyAlignment="1">
      <alignment vertical="center"/>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wrapText="1"/>
      <protection hidden="1"/>
    </xf>
    <xf numFmtId="0" fontId="10" fillId="0" borderId="0" xfId="12" applyFont="1" applyFill="1" applyBorder="1" applyAlignment="1" applyProtection="1">
      <alignment horizontal="left" vertical="center" wrapText="1"/>
    </xf>
    <xf numFmtId="0" fontId="10" fillId="0" borderId="0" xfId="5" applyFont="1" applyFill="1" applyBorder="1" applyAlignment="1" applyProtection="1">
      <alignment horizontal="left" vertical="center" wrapText="1"/>
      <protection hidden="1"/>
    </xf>
    <xf numFmtId="0" fontId="7"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protection hidden="1"/>
    </xf>
    <xf numFmtId="0" fontId="10" fillId="0" borderId="0" xfId="12" applyFont="1" applyBorder="1" applyAlignment="1" applyProtection="1">
      <alignment horizontal="left" vertical="center"/>
    </xf>
    <xf numFmtId="0" fontId="10" fillId="0" borderId="0" xfId="12" applyFont="1" applyBorder="1" applyAlignment="1" applyProtection="1">
      <alignment vertical="center"/>
    </xf>
    <xf numFmtId="0" fontId="10" fillId="0" borderId="0" xfId="5" applyFont="1" applyBorder="1" applyAlignment="1" applyProtection="1">
      <alignment horizontal="left" vertical="center"/>
      <protection hidden="1"/>
    </xf>
    <xf numFmtId="0" fontId="10" fillId="0" borderId="7" xfId="12" applyFont="1" applyBorder="1" applyAlignment="1" applyProtection="1">
      <alignment horizontal="center" vertical="center"/>
    </xf>
    <xf numFmtId="0" fontId="10" fillId="0" borderId="7" xfId="12" applyFont="1" applyBorder="1" applyAlignment="1" applyProtection="1">
      <alignment horizontal="center" vertical="center" wrapText="1"/>
    </xf>
    <xf numFmtId="178" fontId="7" fillId="0" borderId="7" xfId="0" applyNumberFormat="1" applyFont="1" applyBorder="1" applyAlignment="1" applyProtection="1">
      <alignment horizontal="right" vertical="center"/>
      <protection hidden="1"/>
    </xf>
    <xf numFmtId="0" fontId="10" fillId="2" borderId="24" xfId="11" applyFont="1" applyFill="1" applyBorder="1" applyAlignment="1" applyProtection="1">
      <alignment horizontal="left" vertical="center" wrapText="1"/>
      <protection locked="0"/>
    </xf>
    <xf numFmtId="0" fontId="10" fillId="2" borderId="51" xfId="11" applyFont="1" applyFill="1" applyBorder="1" applyAlignment="1" applyProtection="1">
      <alignment horizontal="left" vertical="center" wrapText="1"/>
      <protection locked="0"/>
    </xf>
    <xf numFmtId="0" fontId="7" fillId="3" borderId="7" xfId="0" applyFont="1" applyFill="1" applyBorder="1" applyAlignment="1" applyProtection="1">
      <alignment horizontal="center" vertical="center"/>
      <protection hidden="1"/>
    </xf>
    <xf numFmtId="0" fontId="29" fillId="0" borderId="0" xfId="11" applyFont="1" applyAlignment="1" applyProtection="1">
      <alignment horizontal="left" vertical="center"/>
    </xf>
    <xf numFmtId="0" fontId="34"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21" fillId="0" borderId="7" xfId="11" applyFont="1" applyFill="1" applyBorder="1" applyAlignment="1" applyProtection="1">
      <alignment horizontal="center" vertical="center"/>
      <protection hidden="1"/>
    </xf>
    <xf numFmtId="0" fontId="23" fillId="0" borderId="4" xfId="0" applyFont="1" applyBorder="1" applyAlignment="1" applyProtection="1">
      <alignment horizontal="left" vertical="center"/>
      <protection hidden="1"/>
    </xf>
    <xf numFmtId="0" fontId="30" fillId="0" borderId="0" xfId="0" applyFont="1" applyAlignment="1" applyProtection="1">
      <alignment vertical="center"/>
      <protection hidden="1"/>
    </xf>
    <xf numFmtId="38" fontId="7" fillId="0" borderId="34" xfId="2" applyFont="1" applyBorder="1" applyAlignment="1" applyProtection="1">
      <alignment vertical="center"/>
      <protection hidden="1"/>
    </xf>
    <xf numFmtId="0" fontId="7" fillId="0" borderId="62" xfId="11" applyFont="1" applyBorder="1" applyAlignment="1" applyProtection="1">
      <alignment horizontal="center" vertical="center"/>
      <protection hidden="1"/>
    </xf>
    <xf numFmtId="38" fontId="7" fillId="0" borderId="62" xfId="2" applyFont="1" applyBorder="1" applyAlignment="1" applyProtection="1">
      <alignment vertical="center"/>
      <protection hidden="1"/>
    </xf>
    <xf numFmtId="38" fontId="7" fillId="0" borderId="40" xfId="2" applyFont="1" applyBorder="1" applyAlignment="1" applyProtection="1">
      <alignment vertical="center"/>
      <protection hidden="1"/>
    </xf>
    <xf numFmtId="184" fontId="7" fillId="0" borderId="51" xfId="1" applyNumberFormat="1" applyFont="1" applyBorder="1" applyAlignment="1" applyProtection="1">
      <alignment vertical="center"/>
      <protection hidden="1"/>
    </xf>
    <xf numFmtId="184" fontId="7" fillId="0" borderId="62" xfId="1" applyNumberFormat="1" applyFont="1" applyBorder="1" applyAlignment="1" applyProtection="1">
      <alignment vertical="center"/>
      <protection hidden="1"/>
    </xf>
    <xf numFmtId="38" fontId="7" fillId="0" borderId="63" xfId="2" applyFont="1" applyBorder="1" applyAlignment="1" applyProtection="1">
      <alignment vertical="center"/>
      <protection hidden="1"/>
    </xf>
    <xf numFmtId="38" fontId="7" fillId="0" borderId="34" xfId="2" applyFont="1" applyFill="1" applyBorder="1" applyAlignment="1" applyProtection="1">
      <alignment vertical="center"/>
      <protection hidden="1"/>
    </xf>
    <xf numFmtId="0" fontId="7" fillId="0" borderId="0" xfId="11" applyFont="1" applyProtection="1">
      <alignment vertical="center"/>
    </xf>
    <xf numFmtId="38" fontId="7" fillId="0" borderId="40" xfId="2" applyFont="1" applyFill="1" applyBorder="1" applyAlignment="1" applyProtection="1">
      <alignment vertical="center"/>
      <protection hidden="1"/>
    </xf>
    <xf numFmtId="0" fontId="7" fillId="0" borderId="0" xfId="9" applyFont="1" applyAlignment="1">
      <alignment vertical="center"/>
    </xf>
    <xf numFmtId="0" fontId="7" fillId="2" borderId="38" xfId="9" applyFont="1" applyFill="1" applyBorder="1" applyAlignment="1" applyProtection="1">
      <alignment horizontal="center" vertical="center"/>
      <protection locked="0"/>
    </xf>
    <xf numFmtId="0" fontId="21" fillId="0" borderId="64" xfId="9" applyFont="1" applyBorder="1" applyAlignment="1">
      <alignment vertical="center" wrapText="1"/>
    </xf>
    <xf numFmtId="0" fontId="7" fillId="0" borderId="31" xfId="9" applyFont="1" applyBorder="1" applyAlignment="1">
      <alignment horizontal="right" vertical="center"/>
    </xf>
    <xf numFmtId="0" fontId="10" fillId="0" borderId="18" xfId="9" applyFont="1" applyBorder="1" applyAlignment="1">
      <alignment horizontal="center" vertical="center"/>
    </xf>
    <xf numFmtId="184" fontId="7" fillId="0" borderId="51" xfId="1" applyNumberFormat="1" applyFont="1" applyFill="1" applyBorder="1" applyAlignment="1" applyProtection="1">
      <alignment vertical="center"/>
      <protection hidden="1"/>
    </xf>
    <xf numFmtId="0" fontId="7" fillId="0" borderId="0" xfId="11" applyFont="1" applyFill="1" applyBorder="1" applyProtection="1">
      <alignment vertical="center"/>
    </xf>
    <xf numFmtId="178" fontId="10" fillId="0" borderId="4" xfId="12" applyNumberFormat="1" applyFont="1" applyFill="1" applyBorder="1" applyAlignment="1" applyProtection="1">
      <alignment horizontal="right" vertical="center"/>
    </xf>
    <xf numFmtId="178" fontId="7" fillId="0" borderId="4" xfId="0" applyNumberFormat="1" applyFont="1" applyFill="1" applyBorder="1" applyAlignment="1" applyProtection="1">
      <alignment horizontal="right" vertical="center"/>
      <protection hidden="1"/>
    </xf>
    <xf numFmtId="0" fontId="21" fillId="0" borderId="4" xfId="12" applyFont="1" applyFill="1" applyBorder="1" applyAlignment="1" applyProtection="1">
      <alignment horizontal="center" vertical="center"/>
      <protection hidden="1"/>
    </xf>
    <xf numFmtId="178" fontId="10" fillId="0" borderId="0" xfId="12" applyNumberFormat="1" applyFont="1" applyFill="1" applyBorder="1" applyAlignment="1" applyProtection="1">
      <alignment horizontal="right" vertical="center"/>
    </xf>
    <xf numFmtId="178" fontId="7" fillId="0" borderId="0" xfId="0" applyNumberFormat="1" applyFont="1" applyFill="1" applyBorder="1" applyAlignment="1" applyProtection="1">
      <alignment horizontal="right" vertical="center"/>
      <protection hidden="1"/>
    </xf>
    <xf numFmtId="0" fontId="21" fillId="0" borderId="0" xfId="12" applyFont="1" applyFill="1" applyBorder="1" applyAlignment="1" applyProtection="1">
      <alignment horizontal="center" vertical="center"/>
      <protection hidden="1"/>
    </xf>
    <xf numFmtId="183" fontId="7" fillId="0" borderId="7" xfId="0" applyNumberFormat="1" applyFont="1" applyBorder="1" applyAlignment="1" applyProtection="1">
      <alignment horizontal="right" vertical="center"/>
      <protection hidden="1"/>
    </xf>
    <xf numFmtId="0" fontId="10" fillId="2" borderId="1" xfId="11" applyFont="1" applyFill="1" applyBorder="1" applyAlignment="1" applyProtection="1">
      <alignment horizontal="left" vertical="center" wrapText="1"/>
      <protection locked="0"/>
    </xf>
    <xf numFmtId="0" fontId="23" fillId="0" borderId="3"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0" xfId="0" applyFont="1" applyBorder="1" applyAlignment="1" applyProtection="1">
      <protection hidden="1"/>
    </xf>
    <xf numFmtId="0" fontId="10" fillId="0" borderId="17" xfId="0" applyFont="1" applyFill="1" applyBorder="1" applyAlignment="1" applyProtection="1">
      <alignment vertical="center"/>
      <protection hidden="1"/>
    </xf>
    <xf numFmtId="0" fontId="10" fillId="0" borderId="17" xfId="0" applyFont="1" applyFill="1" applyBorder="1" applyAlignment="1" applyProtection="1">
      <alignment horizontal="center" vertical="center"/>
      <protection hidden="1"/>
    </xf>
    <xf numFmtId="0" fontId="10" fillId="0" borderId="17"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8" fillId="0" borderId="6" xfId="0" applyFont="1" applyFill="1" applyBorder="1" applyAlignment="1">
      <alignment vertical="center"/>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5" xfId="0" applyFont="1" applyBorder="1" applyAlignment="1">
      <alignment vertical="center"/>
    </xf>
    <xf numFmtId="0" fontId="8" fillId="0" borderId="3"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20" xfId="0" applyFont="1" applyBorder="1" applyAlignment="1">
      <alignment vertical="center"/>
    </xf>
    <xf numFmtId="0" fontId="8" fillId="0" borderId="0" xfId="0" applyFont="1" applyFill="1" applyBorder="1" applyAlignment="1">
      <alignment horizontal="centerContinuous" vertical="center"/>
    </xf>
    <xf numFmtId="0" fontId="8" fillId="0" borderId="0" xfId="0" applyFont="1" applyBorder="1" applyAlignment="1" applyProtection="1">
      <alignment horizontal="centerContinuous" vertical="center"/>
      <protection hidden="1"/>
    </xf>
    <xf numFmtId="0" fontId="8" fillId="0" borderId="20" xfId="0" applyFont="1" applyBorder="1" applyAlignment="1">
      <alignment horizontal="center" vertical="center"/>
    </xf>
    <xf numFmtId="0" fontId="8" fillId="0" borderId="0" xfId="0" applyNumberFormat="1" applyFont="1" applyFill="1" applyBorder="1" applyAlignment="1" applyProtection="1">
      <protection hidden="1"/>
    </xf>
    <xf numFmtId="0" fontId="8" fillId="0" borderId="0" xfId="0" applyFont="1" applyBorder="1" applyAlignment="1"/>
    <xf numFmtId="0" fontId="8" fillId="0" borderId="20" xfId="0" applyFont="1" applyBorder="1" applyAlignment="1" applyProtection="1">
      <protection hidden="1"/>
    </xf>
    <xf numFmtId="0" fontId="8" fillId="0" borderId="18" xfId="0" applyFont="1" applyFill="1" applyBorder="1" applyAlignment="1">
      <alignment vertical="center"/>
    </xf>
    <xf numFmtId="0" fontId="8" fillId="0" borderId="17" xfId="0" applyFont="1" applyFill="1" applyBorder="1" applyAlignment="1" applyProtection="1">
      <alignment vertical="center"/>
      <protection hidden="1"/>
    </xf>
    <xf numFmtId="0" fontId="8" fillId="0" borderId="17" xfId="0" applyFont="1" applyFill="1" applyBorder="1" applyAlignment="1" applyProtection="1">
      <alignment horizontal="center" vertical="center"/>
      <protection hidden="1"/>
    </xf>
    <xf numFmtId="0" fontId="8" fillId="0" borderId="24" xfId="0" applyFont="1" applyBorder="1" applyAlignment="1" applyProtection="1">
      <alignment vertical="center"/>
      <protection hidden="1"/>
    </xf>
    <xf numFmtId="0" fontId="16" fillId="0" borderId="4" xfId="0" applyFont="1" applyFill="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8" fillId="0" borderId="4" xfId="0" applyFont="1" applyBorder="1" applyAlignment="1">
      <alignment vertical="center"/>
    </xf>
    <xf numFmtId="0" fontId="8" fillId="0" borderId="0" xfId="0" applyFont="1" applyBorder="1" applyAlignment="1" applyProtection="1">
      <protection hidden="1"/>
    </xf>
    <xf numFmtId="0" fontId="8" fillId="0" borderId="0" xfId="0" applyFont="1" applyFill="1" applyBorder="1" applyAlignment="1" applyProtection="1">
      <alignment horizontal="center" vertical="center"/>
      <protection hidden="1"/>
    </xf>
    <xf numFmtId="0" fontId="8" fillId="0" borderId="6" xfId="0" applyFont="1" applyFill="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16" fillId="0" borderId="4" xfId="0" applyFont="1" applyBorder="1" applyAlignment="1" applyProtection="1">
      <alignment horizontal="left" vertical="center"/>
      <protection hidden="1"/>
    </xf>
    <xf numFmtId="0" fontId="16" fillId="0" borderId="4" xfId="0" applyFont="1" applyFill="1" applyBorder="1" applyAlignment="1" applyProtection="1">
      <alignment horizontal="left" vertical="center"/>
      <protection hidden="1"/>
    </xf>
    <xf numFmtId="0" fontId="8" fillId="0" borderId="5" xfId="0" applyFont="1" applyFill="1" applyBorder="1" applyAlignment="1" applyProtection="1">
      <alignment horizontal="left" vertical="center"/>
      <protection hidden="1"/>
    </xf>
    <xf numFmtId="0" fontId="8" fillId="0" borderId="3" xfId="0" applyNumberFormat="1" applyFont="1" applyFill="1" applyBorder="1" applyAlignment="1" applyProtection="1">
      <alignment horizontal="left"/>
      <protection hidden="1"/>
    </xf>
    <xf numFmtId="0" fontId="8" fillId="0" borderId="0" xfId="0" applyFont="1" applyBorder="1" applyAlignment="1" applyProtection="1">
      <alignment horizontal="left" vertical="center"/>
      <protection hidden="1"/>
    </xf>
    <xf numFmtId="0" fontId="8" fillId="0" borderId="0" xfId="0" applyNumberFormat="1" applyFont="1" applyFill="1" applyBorder="1" applyAlignment="1" applyProtection="1">
      <alignment horizontal="left"/>
      <protection hidden="1"/>
    </xf>
    <xf numFmtId="0" fontId="8" fillId="0" borderId="0" xfId="0" applyFont="1" applyBorder="1" applyAlignment="1">
      <alignment horizontal="left"/>
    </xf>
    <xf numFmtId="0" fontId="8" fillId="0" borderId="0" xfId="0" applyFont="1" applyBorder="1" applyAlignment="1" applyProtection="1">
      <alignment horizontal="left"/>
      <protection hidden="1"/>
    </xf>
    <xf numFmtId="0" fontId="16" fillId="0" borderId="0" xfId="0" applyFont="1" applyBorder="1" applyAlignment="1" applyProtection="1">
      <alignment horizontal="left" vertical="center"/>
      <protection hidden="1"/>
    </xf>
    <xf numFmtId="0" fontId="16" fillId="0" borderId="0"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20" xfId="0" applyFont="1" applyFill="1" applyBorder="1" applyAlignment="1" applyProtection="1">
      <alignment horizontal="left" vertical="center"/>
      <protection hidden="1"/>
    </xf>
    <xf numFmtId="0" fontId="8" fillId="0" borderId="3" xfId="0" applyFont="1" applyFill="1" applyBorder="1" applyAlignment="1" applyProtection="1">
      <alignment horizontal="left" vertical="center"/>
      <protection hidden="1"/>
    </xf>
    <xf numFmtId="0" fontId="8" fillId="0" borderId="3" xfId="0" applyFont="1" applyFill="1" applyBorder="1" applyAlignment="1">
      <alignment horizontal="left" vertical="center"/>
    </xf>
    <xf numFmtId="0" fontId="8" fillId="0" borderId="0" xfId="0" applyFont="1" applyFill="1" applyBorder="1" applyAlignment="1">
      <alignment horizontal="left" vertical="center"/>
    </xf>
    <xf numFmtId="0" fontId="16" fillId="0" borderId="0" xfId="0" applyFont="1" applyFill="1" applyBorder="1" applyAlignment="1">
      <alignment horizontal="left" vertical="center"/>
    </xf>
    <xf numFmtId="0" fontId="8" fillId="0" borderId="20"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xf>
    <xf numFmtId="0" fontId="16" fillId="0" borderId="17" xfId="0" applyFont="1" applyFill="1" applyBorder="1" applyAlignment="1">
      <alignment horizontal="left" vertical="center"/>
    </xf>
    <xf numFmtId="0" fontId="8" fillId="0" borderId="24" xfId="0" applyFont="1" applyFill="1" applyBorder="1" applyAlignment="1">
      <alignment horizontal="left" vertical="center"/>
    </xf>
    <xf numFmtId="0" fontId="8" fillId="0" borderId="6" xfId="9" applyFont="1" applyBorder="1" applyAlignment="1">
      <alignment vertical="center"/>
    </xf>
    <xf numFmtId="0" fontId="8" fillId="0" borderId="4" xfId="9" applyFont="1" applyBorder="1" applyAlignment="1">
      <alignment vertical="center"/>
    </xf>
    <xf numFmtId="0" fontId="16" fillId="0" borderId="5" xfId="0" applyFont="1" applyBorder="1" applyAlignment="1" applyProtection="1">
      <alignment horizontal="center" vertical="center"/>
      <protection hidden="1"/>
    </xf>
    <xf numFmtId="0" fontId="8" fillId="0" borderId="3" xfId="9" applyFont="1" applyBorder="1" applyAlignment="1">
      <alignment vertical="center"/>
    </xf>
    <xf numFmtId="0" fontId="16" fillId="0" borderId="0" xfId="0" applyFont="1" applyBorder="1" applyAlignment="1" applyProtection="1">
      <alignment horizontal="centerContinuous" vertical="center"/>
      <protection hidden="1"/>
    </xf>
    <xf numFmtId="0" fontId="8" fillId="0" borderId="0" xfId="9" applyFont="1" applyBorder="1" applyAlignment="1" applyProtection="1">
      <alignment horizontal="centerContinuous" vertical="center"/>
      <protection hidden="1"/>
    </xf>
    <xf numFmtId="0" fontId="8" fillId="0" borderId="20" xfId="9" applyFont="1" applyBorder="1" applyAlignment="1" applyProtection="1">
      <alignment horizontal="centerContinuous" vertical="center"/>
      <protection hidden="1"/>
    </xf>
    <xf numFmtId="0" fontId="8" fillId="0" borderId="0" xfId="9" applyFont="1" applyBorder="1" applyAlignment="1" applyProtection="1">
      <alignment vertical="center"/>
      <protection hidden="1"/>
    </xf>
    <xf numFmtId="0" fontId="8" fillId="0" borderId="20" xfId="9" applyFont="1" applyBorder="1" applyAlignment="1" applyProtection="1">
      <alignment horizontal="right" vertical="center"/>
      <protection hidden="1"/>
    </xf>
    <xf numFmtId="0" fontId="8" fillId="0" borderId="18" xfId="9" applyFont="1" applyBorder="1" applyAlignment="1">
      <alignment vertical="center"/>
    </xf>
    <xf numFmtId="0" fontId="8" fillId="0" borderId="17" xfId="9" applyFont="1" applyBorder="1" applyAlignment="1">
      <alignment vertical="center"/>
    </xf>
    <xf numFmtId="0" fontId="16" fillId="0" borderId="17" xfId="9" applyFont="1" applyBorder="1" applyAlignment="1">
      <alignment horizontal="center" vertical="center"/>
    </xf>
    <xf numFmtId="0" fontId="8" fillId="0" borderId="24" xfId="9" applyFont="1" applyBorder="1" applyAlignment="1">
      <alignment horizontal="right" vertical="center"/>
    </xf>
    <xf numFmtId="0" fontId="10" fillId="3" borderId="0" xfId="11" applyFont="1" applyFill="1" applyProtection="1">
      <alignment vertical="center"/>
    </xf>
    <xf numFmtId="0" fontId="10" fillId="3" borderId="0" xfId="11" applyFont="1" applyFill="1" applyAlignment="1" applyProtection="1">
      <alignment vertical="center"/>
    </xf>
    <xf numFmtId="0" fontId="10" fillId="3" borderId="0" xfId="11" applyFont="1" applyFill="1" applyAlignment="1" applyProtection="1">
      <alignment vertical="center" wrapText="1"/>
    </xf>
    <xf numFmtId="0" fontId="21" fillId="0" borderId="66" xfId="11" applyFont="1" applyFill="1" applyBorder="1" applyAlignment="1" applyProtection="1">
      <alignment horizontal="center" vertical="center"/>
      <protection hidden="1"/>
    </xf>
    <xf numFmtId="0" fontId="7" fillId="0" borderId="24" xfId="9" applyFont="1" applyBorder="1" applyAlignment="1">
      <alignment horizontal="right" vertical="center"/>
    </xf>
    <xf numFmtId="0" fontId="10" fillId="0" borderId="14" xfId="9" applyFont="1" applyFill="1" applyBorder="1" applyAlignment="1">
      <alignment horizontal="center" vertical="center"/>
    </xf>
    <xf numFmtId="0" fontId="10" fillId="2" borderId="10" xfId="9" applyFont="1" applyFill="1" applyBorder="1" applyAlignment="1" applyProtection="1">
      <alignment vertical="center"/>
      <protection locked="0"/>
    </xf>
    <xf numFmtId="0" fontId="21" fillId="0" borderId="0" xfId="9" applyFont="1" applyFill="1" applyAlignment="1">
      <alignment vertical="center"/>
    </xf>
    <xf numFmtId="0" fontId="16" fillId="0" borderId="13" xfId="0" applyFont="1" applyFill="1" applyBorder="1" applyAlignment="1" applyProtection="1">
      <alignment horizontal="center" vertical="center"/>
      <protection hidden="1"/>
    </xf>
    <xf numFmtId="0" fontId="37" fillId="0" borderId="35" xfId="0" applyFont="1" applyFill="1" applyBorder="1" applyAlignment="1" applyProtection="1">
      <alignment horizontal="center" vertical="center"/>
      <protection hidden="1"/>
    </xf>
    <xf numFmtId="0" fontId="37" fillId="0" borderId="55"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20" fillId="0" borderId="0" xfId="0" applyFont="1" applyFill="1" applyAlignment="1" applyProtection="1">
      <alignment vertical="center"/>
      <protection hidden="1"/>
    </xf>
    <xf numFmtId="0" fontId="7" fillId="0" borderId="6" xfId="0" applyFont="1" applyFill="1" applyBorder="1" applyAlignment="1">
      <alignment vertical="center"/>
    </xf>
    <xf numFmtId="0" fontId="7" fillId="0" borderId="15" xfId="0" applyFont="1" applyFill="1" applyBorder="1" applyAlignment="1">
      <alignment vertical="center"/>
    </xf>
    <xf numFmtId="0" fontId="7" fillId="0" borderId="31" xfId="0" applyFont="1" applyFill="1" applyBorder="1" applyAlignment="1">
      <alignment horizontal="center" vertical="center"/>
    </xf>
    <xf numFmtId="0" fontId="9" fillId="0" borderId="0" xfId="0" applyFont="1" applyAlignment="1">
      <alignment vertical="center"/>
    </xf>
    <xf numFmtId="0" fontId="9" fillId="0" borderId="13" xfId="0" applyFont="1" applyFill="1" applyBorder="1" applyAlignment="1">
      <alignment vertical="center"/>
    </xf>
    <xf numFmtId="0" fontId="9" fillId="0" borderId="17" xfId="0" applyFont="1" applyFill="1" applyBorder="1" applyAlignment="1">
      <alignment vertical="center"/>
    </xf>
    <xf numFmtId="0" fontId="9" fillId="0" borderId="24" xfId="0" applyFont="1" applyFill="1" applyBorder="1" applyAlignment="1">
      <alignment horizontal="center" vertical="center"/>
    </xf>
    <xf numFmtId="0" fontId="9" fillId="0" borderId="6" xfId="0" applyFont="1" applyFill="1" applyBorder="1" applyAlignment="1">
      <alignment vertical="center"/>
    </xf>
    <xf numFmtId="0" fontId="9" fillId="0" borderId="15" xfId="0" applyFont="1" applyFill="1" applyBorder="1" applyAlignment="1">
      <alignment vertical="center"/>
    </xf>
    <xf numFmtId="0" fontId="9" fillId="0" borderId="31" xfId="0" applyFont="1" applyFill="1" applyBorder="1" applyAlignment="1">
      <alignment horizontal="center" vertical="center"/>
    </xf>
    <xf numFmtId="0" fontId="28" fillId="0" borderId="13" xfId="0" applyFont="1" applyFill="1" applyBorder="1" applyAlignment="1">
      <alignment vertical="center"/>
    </xf>
    <xf numFmtId="0" fontId="28" fillId="0" borderId="17" xfId="0" applyFont="1" applyFill="1" applyBorder="1" applyAlignment="1">
      <alignment vertical="center"/>
    </xf>
    <xf numFmtId="0" fontId="28" fillId="0" borderId="24" xfId="0" applyFont="1" applyFill="1" applyBorder="1" applyAlignment="1">
      <alignment horizontal="center" vertical="center"/>
    </xf>
    <xf numFmtId="0" fontId="28" fillId="0" borderId="8" xfId="0" applyFont="1" applyFill="1" applyBorder="1" applyAlignment="1">
      <alignment vertical="center"/>
    </xf>
    <xf numFmtId="0" fontId="28" fillId="0" borderId="2" xfId="0" applyFont="1" applyFill="1" applyBorder="1" applyAlignment="1">
      <alignment vertical="center"/>
    </xf>
    <xf numFmtId="0" fontId="28" fillId="0" borderId="1" xfId="0" applyFont="1" applyFill="1" applyBorder="1" applyAlignment="1">
      <alignment horizontal="center" vertical="center"/>
    </xf>
    <xf numFmtId="0" fontId="28" fillId="0" borderId="6" xfId="0" applyFont="1" applyFill="1" applyBorder="1" applyAlignment="1">
      <alignment vertical="center"/>
    </xf>
    <xf numFmtId="0" fontId="28" fillId="0" borderId="4" xfId="0" applyFont="1" applyFill="1" applyBorder="1" applyAlignment="1">
      <alignment vertical="center"/>
    </xf>
    <xf numFmtId="0" fontId="28" fillId="0" borderId="5" xfId="0" applyFont="1" applyFill="1" applyBorder="1" applyAlignment="1">
      <alignment horizontal="center" vertical="center"/>
    </xf>
    <xf numFmtId="0" fontId="28" fillId="0" borderId="3" xfId="0" applyFont="1" applyFill="1" applyBorder="1" applyAlignment="1">
      <alignment vertical="center"/>
    </xf>
    <xf numFmtId="0" fontId="28" fillId="0" borderId="0" xfId="0" applyFont="1" applyFill="1" applyBorder="1" applyAlignment="1">
      <alignment vertical="center"/>
    </xf>
    <xf numFmtId="0" fontId="28" fillId="0" borderId="20" xfId="0" applyFont="1" applyFill="1" applyBorder="1" applyAlignment="1">
      <alignment horizontal="center" vertical="center"/>
    </xf>
    <xf numFmtId="0" fontId="28" fillId="0" borderId="18" xfId="0" applyFont="1" applyFill="1" applyBorder="1" applyAlignment="1">
      <alignment vertical="center"/>
    </xf>
    <xf numFmtId="0" fontId="28" fillId="0" borderId="0" xfId="0" applyFont="1" applyFill="1" applyAlignment="1">
      <alignment horizontal="center" vertical="center"/>
    </xf>
    <xf numFmtId="0" fontId="28" fillId="0" borderId="15" xfId="0" applyFont="1" applyFill="1" applyBorder="1" applyAlignment="1">
      <alignment vertical="center"/>
    </xf>
    <xf numFmtId="0" fontId="28" fillId="0" borderId="31" xfId="0" applyFont="1" applyFill="1" applyBorder="1" applyAlignment="1">
      <alignment horizontal="center" vertical="center"/>
    </xf>
    <xf numFmtId="0" fontId="28" fillId="0" borderId="29" xfId="0" applyFont="1" applyFill="1" applyBorder="1" applyAlignment="1">
      <alignment vertical="center"/>
    </xf>
    <xf numFmtId="0" fontId="10" fillId="0" borderId="5" xfId="0" applyFont="1" applyFill="1" applyBorder="1" applyAlignment="1">
      <alignment horizontal="right" vertical="center"/>
    </xf>
    <xf numFmtId="0" fontId="10" fillId="0" borderId="20" xfId="0" applyFont="1" applyFill="1" applyBorder="1" applyAlignment="1">
      <alignment horizontal="right" vertical="center"/>
    </xf>
    <xf numFmtId="0" fontId="10" fillId="0" borderId="17" xfId="0" applyFont="1" applyFill="1" applyBorder="1" applyAlignment="1">
      <alignment horizontal="right" vertical="center"/>
    </xf>
    <xf numFmtId="0" fontId="10" fillId="2" borderId="31"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0" fillId="4" borderId="0" xfId="0" applyFill="1" applyAlignment="1">
      <alignment vertical="center"/>
    </xf>
    <xf numFmtId="0" fontId="3" fillId="4" borderId="0" xfId="0" applyFont="1" applyFill="1"/>
    <xf numFmtId="0" fontId="7" fillId="4" borderId="0" xfId="0" applyFont="1" applyFill="1" applyBorder="1" applyAlignment="1">
      <alignment vertical="center"/>
    </xf>
    <xf numFmtId="0" fontId="10" fillId="4" borderId="0" xfId="0" applyFont="1" applyFill="1" applyAlignment="1">
      <alignment vertical="center"/>
    </xf>
    <xf numFmtId="0" fontId="0" fillId="4" borderId="0" xfId="0" applyFill="1" applyAlignment="1" applyProtection="1">
      <alignment vertical="center"/>
      <protection hidden="1"/>
    </xf>
    <xf numFmtId="0" fontId="10" fillId="4" borderId="0" xfId="11" applyFont="1" applyFill="1" applyProtection="1">
      <alignment vertical="center"/>
    </xf>
    <xf numFmtId="0" fontId="7" fillId="0" borderId="4" xfId="0" applyFont="1" applyFill="1" applyBorder="1" applyAlignment="1">
      <alignment vertical="center"/>
    </xf>
    <xf numFmtId="0" fontId="7" fillId="0" borderId="13" xfId="0" applyFont="1" applyFill="1" applyBorder="1" applyAlignment="1">
      <alignment vertical="center"/>
    </xf>
    <xf numFmtId="38" fontId="10" fillId="2" borderId="31" xfId="2" applyFont="1" applyFill="1" applyBorder="1" applyAlignment="1" applyProtection="1">
      <alignment horizontal="right" vertical="center"/>
      <protection locked="0"/>
    </xf>
    <xf numFmtId="38" fontId="10" fillId="2" borderId="20" xfId="2" applyFont="1" applyFill="1" applyBorder="1" applyAlignment="1" applyProtection="1">
      <alignment horizontal="right" vertical="center"/>
      <protection locked="0"/>
    </xf>
    <xf numFmtId="0" fontId="10" fillId="2" borderId="5" xfId="0" applyFont="1" applyFill="1" applyBorder="1" applyAlignment="1" applyProtection="1">
      <alignment horizontal="right" vertical="center"/>
      <protection locked="0"/>
    </xf>
    <xf numFmtId="177" fontId="10" fillId="3" borderId="1" xfId="1" applyNumberFormat="1" applyFont="1" applyFill="1" applyBorder="1" applyAlignment="1" applyProtection="1">
      <alignment horizontal="right" vertical="center" wrapText="1"/>
    </xf>
    <xf numFmtId="0" fontId="10" fillId="2" borderId="22" xfId="0" applyFont="1" applyFill="1" applyBorder="1" applyAlignment="1" applyProtection="1">
      <alignment horizontal="right" vertical="center"/>
      <protection locked="0"/>
    </xf>
    <xf numFmtId="0" fontId="10" fillId="2" borderId="20" xfId="0" applyFont="1" applyFill="1" applyBorder="1" applyAlignment="1" applyProtection="1">
      <alignment horizontal="right" vertical="center"/>
      <protection locked="0"/>
    </xf>
    <xf numFmtId="0" fontId="10" fillId="2" borderId="24" xfId="0" applyFont="1" applyFill="1" applyBorder="1" applyAlignment="1" applyProtection="1">
      <alignment horizontal="right" vertical="center"/>
      <protection locked="0"/>
    </xf>
    <xf numFmtId="38" fontId="10" fillId="2" borderId="5" xfId="2" applyFont="1" applyFill="1" applyBorder="1" applyAlignment="1" applyProtection="1">
      <alignment horizontal="right" vertical="center"/>
      <protection locked="0"/>
    </xf>
    <xf numFmtId="0" fontId="7" fillId="0" borderId="15" xfId="0" applyFont="1" applyFill="1" applyBorder="1" applyAlignment="1">
      <alignment horizontal="left" vertical="center"/>
    </xf>
    <xf numFmtId="0" fontId="28" fillId="0" borderId="14" xfId="0" applyFont="1" applyFill="1" applyBorder="1" applyAlignment="1">
      <alignment vertical="center"/>
    </xf>
    <xf numFmtId="0" fontId="16" fillId="0" borderId="14" xfId="0" applyFont="1" applyFill="1" applyBorder="1" applyAlignment="1" applyProtection="1">
      <alignment horizontal="center" vertical="center"/>
      <protection hidden="1"/>
    </xf>
    <xf numFmtId="38" fontId="10" fillId="3" borderId="1" xfId="2" applyFont="1" applyFill="1" applyBorder="1" applyAlignment="1" applyProtection="1">
      <alignment horizontal="right" vertical="center" wrapText="1"/>
    </xf>
    <xf numFmtId="0" fontId="12" fillId="0" borderId="0" xfId="0" applyFont="1" applyAlignment="1">
      <alignment horizontal="centerContinuous" vertical="center" wrapText="1"/>
    </xf>
    <xf numFmtId="0" fontId="23" fillId="0" borderId="0" xfId="10" applyFont="1" applyFill="1" applyBorder="1" applyAlignment="1" applyProtection="1">
      <alignment horizontal="center" vertical="center"/>
    </xf>
    <xf numFmtId="0" fontId="10" fillId="0" borderId="0" xfId="11" applyFont="1" applyFill="1" applyBorder="1" applyAlignment="1" applyProtection="1">
      <alignment horizontal="center" vertical="center" wrapText="1"/>
    </xf>
    <xf numFmtId="0" fontId="10" fillId="0" borderId="0" xfId="11" applyFont="1" applyFill="1" applyBorder="1" applyAlignment="1" applyProtection="1">
      <alignment horizontal="left" vertical="center" wrapText="1"/>
    </xf>
    <xf numFmtId="0" fontId="10" fillId="2" borderId="67" xfId="9" applyFont="1" applyFill="1" applyBorder="1" applyAlignment="1" applyProtection="1">
      <alignment vertical="center"/>
      <protection locked="0"/>
    </xf>
    <xf numFmtId="0" fontId="27" fillId="0" borderId="0" xfId="0" applyFont="1" applyBorder="1" applyAlignment="1">
      <alignment horizontal="left" vertical="center"/>
    </xf>
    <xf numFmtId="0" fontId="10" fillId="0" borderId="0" xfId="11" applyFont="1" applyFill="1" applyBorder="1" applyAlignment="1" applyProtection="1">
      <alignment vertical="center"/>
    </xf>
    <xf numFmtId="0" fontId="16" fillId="0" borderId="18" xfId="0" applyFont="1" applyFill="1" applyBorder="1" applyAlignment="1" applyProtection="1">
      <alignment horizontal="center" vertical="center"/>
      <protection hidden="1"/>
    </xf>
    <xf numFmtId="0" fontId="17" fillId="0" borderId="0" xfId="0" applyFont="1" applyFill="1" applyAlignment="1">
      <alignment vertical="center"/>
    </xf>
    <xf numFmtId="0" fontId="7" fillId="0" borderId="18" xfId="0" applyFont="1" applyFill="1" applyBorder="1" applyAlignment="1">
      <alignment vertical="center"/>
    </xf>
    <xf numFmtId="0" fontId="15" fillId="0" borderId="38" xfId="9" applyFont="1" applyFill="1" applyBorder="1" applyAlignment="1" applyProtection="1">
      <alignment horizontal="center" vertical="center"/>
      <protection hidden="1"/>
    </xf>
    <xf numFmtId="0" fontId="17" fillId="0" borderId="22" xfId="9" applyFont="1" applyBorder="1" applyAlignment="1">
      <alignment horizontal="right" vertical="center"/>
    </xf>
    <xf numFmtId="0" fontId="17" fillId="0" borderId="24" xfId="9" applyFont="1" applyBorder="1" applyAlignment="1">
      <alignment horizontal="right" vertical="center"/>
    </xf>
    <xf numFmtId="49" fontId="10" fillId="0" borderId="8" xfId="11" applyNumberFormat="1" applyFont="1" applyFill="1" applyBorder="1" applyAlignment="1" applyProtection="1">
      <alignment horizontal="left" vertical="center" wrapText="1"/>
    </xf>
    <xf numFmtId="0" fontId="30" fillId="0" borderId="0" xfId="0" applyFont="1" applyFill="1" applyAlignment="1">
      <alignment vertical="center"/>
    </xf>
    <xf numFmtId="0" fontId="10" fillId="5" borderId="0" xfId="11" applyFont="1" applyFill="1" applyProtection="1">
      <alignment vertical="center"/>
    </xf>
    <xf numFmtId="0" fontId="10" fillId="5" borderId="0" xfId="4" applyFont="1" applyFill="1" applyAlignment="1" applyProtection="1">
      <alignment vertical="center"/>
      <protection hidden="1"/>
    </xf>
    <xf numFmtId="0" fontId="17" fillId="0" borderId="7" xfId="0" applyFont="1" applyBorder="1" applyAlignment="1" applyProtection="1">
      <alignment horizontal="center" vertical="center"/>
      <protection hidden="1"/>
    </xf>
    <xf numFmtId="0" fontId="27" fillId="4" borderId="0" xfId="11" applyFont="1" applyFill="1" applyProtection="1">
      <alignment vertical="center"/>
    </xf>
    <xf numFmtId="0" fontId="0" fillId="0" borderId="4" xfId="0" applyFill="1" applyBorder="1" applyAlignment="1">
      <alignment vertical="center"/>
    </xf>
    <xf numFmtId="0" fontId="20" fillId="0" borderId="0" xfId="9" applyFont="1" applyFill="1" applyAlignment="1">
      <alignment vertical="center"/>
    </xf>
    <xf numFmtId="0" fontId="15" fillId="0" borderId="27" xfId="9" applyFont="1" applyFill="1" applyBorder="1" applyAlignment="1" applyProtection="1">
      <alignment horizontal="center" vertical="center"/>
      <protection hidden="1"/>
    </xf>
    <xf numFmtId="0" fontId="3" fillId="0" borderId="0" xfId="0" applyFont="1" applyFill="1" applyBorder="1"/>
    <xf numFmtId="49" fontId="8" fillId="0" borderId="6" xfId="0" applyNumberFormat="1" applyFont="1" applyBorder="1" applyAlignment="1">
      <alignment horizontal="center" vertical="center"/>
    </xf>
    <xf numFmtId="49" fontId="8" fillId="0" borderId="58" xfId="0" applyNumberFormat="1" applyFont="1" applyBorder="1" applyAlignment="1">
      <alignment horizontal="center" vertical="center"/>
    </xf>
    <xf numFmtId="38" fontId="7" fillId="2" borderId="31" xfId="2" applyFont="1" applyFill="1" applyBorder="1" applyAlignment="1" applyProtection="1">
      <alignment vertical="center"/>
      <protection locked="0"/>
    </xf>
    <xf numFmtId="49" fontId="15" fillId="0" borderId="4" xfId="0" applyNumberFormat="1" applyFont="1" applyFill="1" applyBorder="1" applyAlignment="1" applyProtection="1">
      <alignment horizontal="left" vertical="center" wrapText="1"/>
    </xf>
    <xf numFmtId="49" fontId="10" fillId="2" borderId="31" xfId="0" applyNumberFormat="1" applyFont="1" applyFill="1" applyBorder="1" applyAlignment="1" applyProtection="1">
      <alignment horizontal="left" vertical="center" wrapText="1"/>
      <protection locked="0"/>
    </xf>
    <xf numFmtId="0" fontId="0" fillId="0" borderId="2" xfId="0" applyBorder="1" applyAlignment="1" applyProtection="1">
      <alignment vertical="center"/>
      <protection hidden="1"/>
    </xf>
    <xf numFmtId="0" fontId="17" fillId="0" borderId="34" xfId="0" applyFont="1" applyBorder="1" applyAlignment="1" applyProtection="1">
      <alignment horizontal="center" vertical="center"/>
      <protection hidden="1"/>
    </xf>
    <xf numFmtId="0" fontId="0" fillId="0" borderId="0" xfId="0" applyFill="1" applyAlignment="1" applyProtection="1">
      <alignment vertical="center"/>
      <protection hidden="1"/>
    </xf>
    <xf numFmtId="0" fontId="0" fillId="0" borderId="7" xfId="0" applyBorder="1" applyAlignment="1" applyProtection="1">
      <alignment horizontal="left" vertical="center"/>
      <protection hidden="1"/>
    </xf>
    <xf numFmtId="0" fontId="0" fillId="0" borderId="58" xfId="0" applyFill="1" applyBorder="1" applyAlignment="1" applyProtection="1">
      <alignment horizontal="center" vertical="center"/>
      <protection hidden="1"/>
    </xf>
    <xf numFmtId="0" fontId="0" fillId="0" borderId="2" xfId="0" applyFill="1" applyBorder="1" applyAlignment="1" applyProtection="1">
      <alignment horizontal="left" vertical="center"/>
      <protection hidden="1"/>
    </xf>
    <xf numFmtId="0" fontId="0" fillId="0" borderId="1" xfId="0" applyFill="1" applyBorder="1" applyAlignment="1" applyProtection="1">
      <alignment horizontal="center" vertical="center"/>
      <protection hidden="1"/>
    </xf>
    <xf numFmtId="0" fontId="0" fillId="0" borderId="58" xfId="0" applyFill="1" applyBorder="1" applyAlignment="1" applyProtection="1">
      <alignment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68" xfId="0" applyBorder="1" applyAlignment="1" applyProtection="1">
      <alignment horizontal="center" vertical="center"/>
      <protection hidden="1"/>
    </xf>
    <xf numFmtId="0" fontId="0" fillId="0" borderId="54" xfId="0"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0" fontId="24" fillId="0" borderId="0" xfId="0" applyFont="1" applyFill="1" applyAlignment="1" applyProtection="1">
      <alignment vertical="center"/>
      <protection hidden="1"/>
    </xf>
    <xf numFmtId="0" fontId="12" fillId="0" borderId="0" xfId="0" applyFont="1" applyFill="1" applyAlignment="1" applyProtection="1">
      <alignment vertical="center"/>
      <protection hidden="1"/>
    </xf>
    <xf numFmtId="0" fontId="12" fillId="0" borderId="0" xfId="0" applyFont="1" applyAlignment="1" applyProtection="1">
      <alignment vertical="center"/>
      <protection hidden="1"/>
    </xf>
    <xf numFmtId="0" fontId="7" fillId="0" borderId="6" xfId="0" applyFont="1" applyFill="1" applyBorder="1" applyAlignment="1" applyProtection="1">
      <alignment vertical="center"/>
      <protection hidden="1"/>
    </xf>
    <xf numFmtId="0" fontId="7" fillId="0" borderId="3" xfId="0" applyFont="1" applyFill="1" applyBorder="1" applyAlignment="1" applyProtection="1">
      <alignment vertical="center"/>
      <protection hidden="1"/>
    </xf>
    <xf numFmtId="0" fontId="17" fillId="0" borderId="35" xfId="0" applyFont="1" applyBorder="1" applyAlignment="1" applyProtection="1">
      <alignment horizontal="center" vertical="center"/>
      <protection hidden="1"/>
    </xf>
    <xf numFmtId="0" fontId="17" fillId="0" borderId="55"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39" fillId="0" borderId="0" xfId="0" applyFont="1" applyAlignment="1">
      <alignment vertical="center"/>
    </xf>
    <xf numFmtId="0" fontId="17" fillId="0" borderId="20" xfId="0" applyFont="1" applyBorder="1" applyAlignment="1" applyProtection="1">
      <alignment vertical="center"/>
      <protection hidden="1"/>
    </xf>
    <xf numFmtId="0" fontId="17" fillId="0" borderId="20" xfId="0" applyFont="1" applyFill="1" applyBorder="1" applyAlignment="1" applyProtection="1">
      <alignment vertical="center"/>
      <protection hidden="1"/>
    </xf>
    <xf numFmtId="0" fontId="17" fillId="0" borderId="69" xfId="0" applyFont="1" applyBorder="1" applyAlignment="1" applyProtection="1">
      <alignment horizontal="center" vertical="center"/>
      <protection hidden="1"/>
    </xf>
    <xf numFmtId="0" fontId="0" fillId="0" borderId="70" xfId="0" applyBorder="1" applyAlignment="1" applyProtection="1">
      <alignment horizontal="center" vertical="center"/>
      <protection hidden="1"/>
    </xf>
    <xf numFmtId="0" fontId="10" fillId="0" borderId="7" xfId="11" applyFont="1" applyBorder="1" applyAlignment="1" applyProtection="1">
      <alignment horizontal="left" vertical="center"/>
    </xf>
    <xf numFmtId="0" fontId="17" fillId="0" borderId="0" xfId="0" applyFont="1" applyFill="1" applyBorder="1" applyAlignment="1">
      <alignment vertical="center"/>
    </xf>
    <xf numFmtId="0" fontId="15" fillId="0" borderId="0" xfId="0" applyFont="1" applyFill="1" applyBorder="1" applyAlignment="1" applyProtection="1">
      <alignment vertical="center"/>
      <protection hidden="1"/>
    </xf>
    <xf numFmtId="0" fontId="7" fillId="0" borderId="2" xfId="0" applyFont="1" applyFill="1" applyBorder="1" applyAlignment="1">
      <alignment vertical="center" wrapText="1"/>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49" fontId="9" fillId="0" borderId="29" xfId="0" applyNumberFormat="1" applyFont="1" applyBorder="1" applyAlignment="1">
      <alignment horizontal="center" vertical="center"/>
    </xf>
    <xf numFmtId="0" fontId="12" fillId="0" borderId="0" xfId="0" applyFont="1" applyFill="1" applyAlignment="1" applyProtection="1">
      <alignment horizontal="right"/>
      <protection hidden="1"/>
    </xf>
    <xf numFmtId="0" fontId="20" fillId="0" borderId="3" xfId="9" applyFont="1" applyFill="1" applyBorder="1" applyAlignment="1">
      <alignment vertical="center" wrapText="1"/>
    </xf>
    <xf numFmtId="0" fontId="12" fillId="0" borderId="0" xfId="9" applyFont="1" applyFill="1" applyAlignment="1">
      <alignment vertical="center"/>
    </xf>
    <xf numFmtId="0" fontId="10" fillId="0" borderId="29" xfId="9" applyFont="1" applyFill="1" applyBorder="1" applyAlignment="1" applyProtection="1">
      <alignment vertical="center"/>
      <protection hidden="1"/>
    </xf>
    <xf numFmtId="0" fontId="10" fillId="0" borderId="39" xfId="9" applyFont="1" applyFill="1" applyBorder="1" applyAlignment="1" applyProtection="1">
      <alignment vertical="center"/>
      <protection hidden="1"/>
    </xf>
    <xf numFmtId="0" fontId="10" fillId="0" borderId="6" xfId="9" applyFont="1" applyFill="1" applyBorder="1" applyAlignment="1" applyProtection="1">
      <alignment vertical="center"/>
      <protection hidden="1"/>
    </xf>
    <xf numFmtId="0" fontId="10" fillId="0" borderId="18" xfId="9" applyFont="1" applyFill="1" applyBorder="1" applyAlignment="1" applyProtection="1">
      <alignment vertical="center"/>
      <protection hidden="1"/>
    </xf>
    <xf numFmtId="0" fontId="15" fillId="0" borderId="42" xfId="9" applyFont="1" applyFill="1" applyBorder="1" applyAlignment="1" applyProtection="1">
      <alignment horizontal="center" vertical="center"/>
      <protection hidden="1"/>
    </xf>
    <xf numFmtId="0" fontId="15" fillId="0" borderId="28" xfId="9" applyFont="1" applyFill="1" applyBorder="1" applyAlignment="1" applyProtection="1">
      <alignment horizontal="center" vertical="center"/>
      <protection hidden="1"/>
    </xf>
    <xf numFmtId="0" fontId="10" fillId="0" borderId="30" xfId="9" applyFont="1" applyFill="1" applyBorder="1" applyAlignment="1" applyProtection="1">
      <alignment vertical="center"/>
      <protection hidden="1"/>
    </xf>
    <xf numFmtId="0" fontId="23" fillId="0" borderId="7"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8" fillId="0" borderId="7" xfId="0" applyFont="1" applyBorder="1" applyAlignment="1" applyProtection="1">
      <alignment horizontal="center" vertical="center"/>
      <protection hidden="1"/>
    </xf>
    <xf numFmtId="0" fontId="12" fillId="0" borderId="0" xfId="0" applyFont="1" applyFill="1" applyAlignment="1">
      <alignment horizontal="centerContinuous" vertical="center"/>
    </xf>
    <xf numFmtId="0" fontId="22" fillId="0" borderId="0" xfId="0" quotePrefix="1" applyFont="1" applyFill="1" applyAlignment="1">
      <alignment vertical="center"/>
    </xf>
    <xf numFmtId="0" fontId="10" fillId="0" borderId="0" xfId="0" quotePrefix="1" applyFont="1" applyFill="1" applyAlignment="1">
      <alignment vertical="center"/>
    </xf>
    <xf numFmtId="0" fontId="0" fillId="0" borderId="0" xfId="0" applyFill="1" applyAlignment="1">
      <alignment vertical="center" wrapText="1"/>
    </xf>
    <xf numFmtId="0" fontId="16" fillId="0" borderId="0" xfId="0" applyFont="1" applyFill="1" applyBorder="1" applyAlignment="1">
      <alignment horizontal="center" vertical="center" wrapText="1"/>
    </xf>
    <xf numFmtId="0" fontId="10" fillId="0" borderId="2" xfId="0" applyFont="1" applyBorder="1" applyAlignment="1" applyProtection="1">
      <alignment horizontal="center" vertical="center" wrapText="1"/>
      <protection hidden="1"/>
    </xf>
    <xf numFmtId="0" fontId="7" fillId="0" borderId="2" xfId="0" applyFont="1" applyBorder="1" applyAlignment="1" applyProtection="1">
      <alignment vertical="center"/>
      <protection hidden="1"/>
    </xf>
    <xf numFmtId="0" fontId="10" fillId="0" borderId="6" xfId="0" applyFont="1" applyBorder="1" applyAlignment="1" applyProtection="1">
      <alignment vertical="center"/>
      <protection hidden="1"/>
    </xf>
    <xf numFmtId="0" fontId="10" fillId="0" borderId="0" xfId="0" applyFont="1" applyBorder="1" applyAlignment="1" applyProtection="1">
      <alignment horizontal="center" vertical="center" wrapText="1"/>
      <protection hidden="1"/>
    </xf>
    <xf numFmtId="0" fontId="10" fillId="0" borderId="8" xfId="0" applyFont="1" applyBorder="1" applyAlignment="1" applyProtection="1">
      <alignment vertical="center"/>
      <protection hidden="1"/>
    </xf>
    <xf numFmtId="0" fontId="8" fillId="0" borderId="4" xfId="0" applyNumberFormat="1" applyFont="1" applyFill="1" applyBorder="1" applyAlignment="1" applyProtection="1">
      <protection hidden="1"/>
    </xf>
    <xf numFmtId="0" fontId="15" fillId="0" borderId="58" xfId="0" applyFont="1" applyFill="1" applyBorder="1" applyAlignment="1" applyProtection="1">
      <alignment horizontal="center" vertical="center" wrapText="1"/>
      <protection hidden="1"/>
    </xf>
    <xf numFmtId="0" fontId="17" fillId="0" borderId="43" xfId="0" applyFont="1" applyBorder="1" applyAlignment="1" applyProtection="1">
      <alignment horizontal="center" vertical="center"/>
      <protection hidden="1"/>
    </xf>
    <xf numFmtId="0" fontId="15" fillId="0" borderId="59"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left" vertical="center"/>
      <protection hidden="1"/>
    </xf>
    <xf numFmtId="0" fontId="10" fillId="0" borderId="0" xfId="0" applyFont="1" applyBorder="1" applyAlignment="1" applyProtection="1">
      <alignment horizontal="left" vertical="center"/>
      <protection hidden="1"/>
    </xf>
    <xf numFmtId="0" fontId="10" fillId="0" borderId="0" xfId="0" applyFont="1" applyBorder="1" applyAlignment="1" applyProtection="1">
      <alignment horizontal="center" vertical="center"/>
      <protection hidden="1"/>
    </xf>
    <xf numFmtId="0" fontId="10" fillId="0" borderId="8" xfId="0" applyFont="1" applyFill="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0" fillId="0" borderId="0" xfId="0" applyFill="1" applyBorder="1" applyAlignment="1" applyProtection="1">
      <alignment horizontal="center" vertical="center"/>
      <protection hidden="1"/>
    </xf>
    <xf numFmtId="0" fontId="7" fillId="0" borderId="4" xfId="0" applyFont="1" applyFill="1" applyBorder="1" applyAlignment="1">
      <alignment vertical="center" wrapText="1"/>
    </xf>
    <xf numFmtId="0" fontId="8" fillId="0" borderId="0" xfId="0" applyFont="1" applyAlignment="1">
      <alignment horizontal="left" vertical="center" wrapText="1"/>
    </xf>
    <xf numFmtId="0" fontId="0" fillId="0" borderId="0" xfId="0" applyFill="1" applyBorder="1" applyAlignment="1">
      <alignment horizontal="centerContinuous" vertical="center"/>
    </xf>
    <xf numFmtId="38" fontId="3" fillId="0" borderId="0" xfId="2" applyFont="1" applyFill="1" applyBorder="1" applyAlignment="1" applyProtection="1">
      <alignment vertical="center"/>
      <protection hidden="1"/>
    </xf>
    <xf numFmtId="0" fontId="7" fillId="0" borderId="7" xfId="0" applyFont="1" applyFill="1" applyBorder="1" applyAlignment="1">
      <alignment horizontal="center" vertical="center"/>
    </xf>
    <xf numFmtId="0" fontId="7" fillId="0" borderId="0" xfId="0" applyFont="1" applyFill="1" applyBorder="1" applyAlignment="1" applyProtection="1">
      <alignment vertical="center"/>
      <protection hidden="1"/>
    </xf>
    <xf numFmtId="0" fontId="7" fillId="0" borderId="7" xfId="0" applyFont="1" applyBorder="1" applyAlignment="1">
      <alignment horizontal="center" vertical="center"/>
    </xf>
    <xf numFmtId="0" fontId="3" fillId="0" borderId="8" xfId="0" applyFont="1" applyFill="1" applyBorder="1" applyAlignment="1">
      <alignment horizontal="left" vertical="center"/>
    </xf>
    <xf numFmtId="0" fontId="0" fillId="0" borderId="2" xfId="0" applyFill="1" applyBorder="1" applyAlignment="1">
      <alignment horizontal="centerContinuous" vertical="center"/>
    </xf>
    <xf numFmtId="0" fontId="0" fillId="0" borderId="1" xfId="0" applyFill="1" applyBorder="1" applyAlignment="1">
      <alignment horizontal="centerContinuous" vertical="center"/>
    </xf>
    <xf numFmtId="0" fontId="17" fillId="0" borderId="8" xfId="0" applyFont="1" applyBorder="1" applyAlignment="1" applyProtection="1">
      <alignment horizontal="center" vertical="center"/>
      <protection hidden="1"/>
    </xf>
    <xf numFmtId="183" fontId="10" fillId="2" borderId="7" xfId="2" applyNumberFormat="1" applyFont="1" applyFill="1" applyBorder="1" applyAlignment="1" applyProtection="1">
      <alignment vertical="center" wrapText="1"/>
      <protection locked="0"/>
    </xf>
    <xf numFmtId="183" fontId="7" fillId="2" borderId="7" xfId="2" applyNumberFormat="1" applyFont="1" applyFill="1" applyBorder="1" applyAlignment="1" applyProtection="1">
      <alignment horizontal="center" vertical="center"/>
      <protection locked="0"/>
    </xf>
    <xf numFmtId="0" fontId="7" fillId="0" borderId="3" xfId="0" applyFont="1" applyBorder="1" applyAlignment="1" applyProtection="1">
      <alignment vertical="center"/>
      <protection hidden="1"/>
    </xf>
    <xf numFmtId="0" fontId="3" fillId="0" borderId="0" xfId="0" applyFont="1" applyFill="1" applyAlignment="1" applyProtection="1">
      <alignment vertical="center"/>
    </xf>
    <xf numFmtId="0" fontId="3" fillId="0" borderId="0" xfId="0" applyFont="1" applyFill="1" applyBorder="1" applyAlignment="1" applyProtection="1">
      <alignment horizontal="centerContinuous" vertical="center"/>
    </xf>
    <xf numFmtId="0" fontId="0" fillId="0" borderId="0" xfId="0" applyFill="1" applyBorder="1" applyAlignment="1" applyProtection="1">
      <alignment horizontal="centerContinuous" vertical="center"/>
    </xf>
    <xf numFmtId="0" fontId="16" fillId="0" borderId="0" xfId="0" applyFont="1" applyFill="1" applyBorder="1" applyAlignment="1" applyProtection="1">
      <alignment horizontal="center" vertical="center"/>
    </xf>
    <xf numFmtId="38" fontId="3" fillId="0" borderId="0" xfId="2" applyFont="1" applyFill="1" applyBorder="1" applyAlignment="1" applyProtection="1">
      <alignment vertical="center"/>
    </xf>
    <xf numFmtId="0" fontId="12" fillId="0" borderId="0" xfId="0" applyFont="1" applyFill="1" applyAlignment="1" applyProtection="1">
      <alignment vertical="center"/>
    </xf>
    <xf numFmtId="0" fontId="0" fillId="0" borderId="0" xfId="0" applyFill="1" applyAlignment="1" applyProtection="1">
      <alignment vertical="center"/>
    </xf>
    <xf numFmtId="0" fontId="30" fillId="0" borderId="0" xfId="0" applyFont="1" applyAlignment="1">
      <alignment horizontal="right"/>
    </xf>
    <xf numFmtId="0" fontId="10" fillId="0" borderId="58" xfId="0" applyFont="1" applyBorder="1" applyAlignment="1" applyProtection="1">
      <alignment vertical="center"/>
      <protection hidden="1"/>
    </xf>
    <xf numFmtId="185" fontId="27" fillId="0" borderId="0" xfId="0" applyNumberFormat="1" applyFont="1" applyBorder="1" applyAlignment="1">
      <alignment vertical="center"/>
    </xf>
    <xf numFmtId="0" fontId="10" fillId="4" borderId="0" xfId="0" applyFont="1" applyFill="1" applyAlignment="1" applyProtection="1">
      <alignment vertical="center"/>
      <protection hidden="1"/>
    </xf>
    <xf numFmtId="0" fontId="9" fillId="0" borderId="7" xfId="0" applyFont="1" applyBorder="1" applyAlignment="1">
      <alignment horizontal="center" vertical="center"/>
    </xf>
    <xf numFmtId="0" fontId="8" fillId="0" borderId="7" xfId="0" applyFont="1" applyBorder="1" applyAlignment="1" applyProtection="1">
      <alignment horizontal="center" vertical="center"/>
      <protection hidden="1"/>
    </xf>
    <xf numFmtId="0" fontId="10"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protection locked="0"/>
    </xf>
    <xf numFmtId="38" fontId="9" fillId="2" borderId="7" xfId="2" applyFont="1" applyFill="1" applyBorder="1" applyAlignment="1" applyProtection="1">
      <alignment horizontal="right" vertical="center"/>
      <protection locked="0"/>
    </xf>
    <xf numFmtId="0" fontId="27" fillId="0" borderId="1" xfId="0" applyFont="1" applyBorder="1" applyAlignment="1" applyProtection="1">
      <alignment vertical="center"/>
      <protection hidden="1"/>
    </xf>
    <xf numFmtId="0" fontId="10" fillId="0" borderId="7" xfId="0" applyFont="1" applyFill="1" applyBorder="1" applyAlignment="1">
      <alignment vertical="center"/>
    </xf>
    <xf numFmtId="0" fontId="0" fillId="0" borderId="0" xfId="0" applyAlignment="1" applyProtection="1">
      <alignment vertical="center"/>
    </xf>
    <xf numFmtId="0" fontId="10" fillId="0" borderId="2"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xf>
    <xf numFmtId="38" fontId="9" fillId="0" borderId="1" xfId="2" applyFont="1" applyFill="1" applyBorder="1" applyAlignment="1" applyProtection="1">
      <alignment horizontal="right" vertical="center"/>
    </xf>
    <xf numFmtId="0" fontId="12" fillId="0" borderId="0" xfId="0" applyFont="1" applyAlignment="1" applyProtection="1">
      <alignment vertical="center"/>
    </xf>
    <xf numFmtId="38" fontId="9" fillId="0" borderId="7" xfId="2" applyFont="1" applyFill="1" applyBorder="1" applyAlignment="1" applyProtection="1">
      <alignment horizontal="center" vertical="center"/>
    </xf>
    <xf numFmtId="38" fontId="8" fillId="3" borderId="7" xfId="2" applyFont="1" applyFill="1" applyBorder="1" applyAlignment="1">
      <alignment vertical="center"/>
    </xf>
    <xf numFmtId="38" fontId="8" fillId="0" borderId="7" xfId="2" applyFont="1" applyBorder="1" applyAlignment="1">
      <alignment vertical="center"/>
    </xf>
    <xf numFmtId="0" fontId="8" fillId="0" borderId="46" xfId="0" applyFont="1" applyBorder="1" applyAlignment="1">
      <alignment horizontal="center" vertical="center"/>
    </xf>
    <xf numFmtId="38" fontId="7" fillId="3" borderId="51" xfId="2" applyFont="1" applyFill="1" applyBorder="1" applyAlignment="1" applyProtection="1">
      <alignment vertical="center"/>
      <protection hidden="1"/>
    </xf>
    <xf numFmtId="49" fontId="10" fillId="2" borderId="1" xfId="0" applyNumberFormat="1" applyFont="1" applyFill="1" applyBorder="1" applyAlignment="1" applyProtection="1">
      <alignment horizontal="left" vertical="center" wrapText="1"/>
      <protection locked="0"/>
    </xf>
    <xf numFmtId="0" fontId="10" fillId="2" borderId="31" xfId="0" applyFont="1" applyFill="1" applyBorder="1" applyAlignment="1" applyProtection="1">
      <alignment horizontal="right" vertical="center"/>
      <protection locked="0"/>
    </xf>
    <xf numFmtId="0" fontId="16" fillId="4" borderId="0" xfId="0" applyFont="1" applyFill="1" applyBorder="1" applyAlignment="1" applyProtection="1">
      <alignment horizontal="center" vertical="center"/>
      <protection hidden="1"/>
    </xf>
    <xf numFmtId="0" fontId="16" fillId="4" borderId="17" xfId="0" applyFont="1" applyFill="1" applyBorder="1" applyAlignment="1" applyProtection="1">
      <alignment horizontal="center" vertical="center"/>
      <protection hidden="1"/>
    </xf>
    <xf numFmtId="0" fontId="21" fillId="0" borderId="0" xfId="0" applyFont="1" applyFill="1" applyAlignment="1">
      <alignment vertical="center"/>
    </xf>
    <xf numFmtId="38" fontId="9" fillId="3" borderId="7" xfId="2" applyFont="1" applyFill="1" applyBorder="1" applyAlignment="1" applyProtection="1">
      <alignment horizontal="right" vertical="center"/>
    </xf>
    <xf numFmtId="0" fontId="0" fillId="2" borderId="51" xfId="0" applyFill="1" applyBorder="1" applyAlignment="1" applyProtection="1">
      <alignment vertical="center"/>
      <protection locked="0"/>
    </xf>
    <xf numFmtId="0" fontId="12" fillId="0" borderId="8" xfId="0" applyFont="1" applyFill="1" applyBorder="1" applyAlignment="1" applyProtection="1">
      <alignment horizontal="center" vertical="center"/>
    </xf>
    <xf numFmtId="49" fontId="12" fillId="0" borderId="2" xfId="0" applyNumberFormat="1" applyFont="1" applyFill="1" applyBorder="1" applyAlignment="1" applyProtection="1">
      <alignment horizontal="left" vertical="center"/>
    </xf>
    <xf numFmtId="0" fontId="0" fillId="0" borderId="2" xfId="0" applyFill="1" applyBorder="1" applyAlignment="1" applyProtection="1">
      <alignment vertical="center"/>
    </xf>
    <xf numFmtId="0" fontId="0" fillId="0" borderId="1" xfId="0" applyFill="1" applyBorder="1" applyAlignment="1" applyProtection="1">
      <alignment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hidden="1"/>
    </xf>
    <xf numFmtId="0" fontId="3" fillId="0" borderId="3" xfId="0" applyFont="1" applyFill="1" applyBorder="1" applyAlignment="1">
      <alignment horizontal="left" vertical="center"/>
    </xf>
    <xf numFmtId="184" fontId="7" fillId="0" borderId="0" xfId="1" applyNumberFormat="1" applyFont="1" applyFill="1" applyBorder="1" applyAlignment="1" applyProtection="1">
      <alignment horizontal="center" vertical="center"/>
      <protection hidden="1"/>
    </xf>
    <xf numFmtId="0" fontId="10" fillId="0" borderId="0" xfId="12" applyFont="1" applyFill="1" applyBorder="1" applyAlignment="1" applyProtection="1">
      <alignment horizontal="left" vertical="center"/>
    </xf>
    <xf numFmtId="0" fontId="10" fillId="0" borderId="0" xfId="0" applyFont="1" applyBorder="1" applyAlignment="1" applyProtection="1">
      <alignment vertical="center" wrapText="1"/>
      <protection hidden="1"/>
    </xf>
    <xf numFmtId="0" fontId="10" fillId="0" borderId="0" xfId="0" applyFont="1" applyAlignment="1" applyProtection="1">
      <alignment horizontal="center" vertical="center"/>
      <protection hidden="1"/>
    </xf>
    <xf numFmtId="0" fontId="15" fillId="0" borderId="34" xfId="0" applyFont="1" applyBorder="1" applyAlignment="1" applyProtection="1">
      <alignment horizontal="center" vertical="center"/>
      <protection hidden="1"/>
    </xf>
    <xf numFmtId="0" fontId="10" fillId="2" borderId="1" xfId="0" applyFont="1" applyFill="1" applyBorder="1" applyAlignment="1" applyProtection="1">
      <alignment horizontal="center" vertical="center"/>
      <protection locked="0"/>
    </xf>
    <xf numFmtId="0" fontId="45" fillId="0" borderId="0" xfId="0" applyFont="1" applyFill="1" applyBorder="1" applyAlignment="1" applyProtection="1">
      <alignment vertical="center"/>
      <protection hidden="1"/>
    </xf>
    <xf numFmtId="0" fontId="10" fillId="2" borderId="7" xfId="0" applyFont="1" applyFill="1" applyBorder="1" applyAlignment="1" applyProtection="1">
      <alignment horizontal="center" vertical="center"/>
      <protection locked="0"/>
    </xf>
    <xf numFmtId="0" fontId="10" fillId="0" borderId="0" xfId="0" applyFont="1" applyAlignment="1" applyProtection="1">
      <alignment horizontal="left" vertical="center"/>
      <protection hidden="1"/>
    </xf>
    <xf numFmtId="0" fontId="10" fillId="2" borderId="1" xfId="0" applyFont="1" applyFill="1" applyBorder="1" applyAlignment="1" applyProtection="1">
      <alignment vertical="center" wrapText="1"/>
      <protection locked="0"/>
    </xf>
    <xf numFmtId="0" fontId="15" fillId="0" borderId="7" xfId="0" applyFont="1" applyBorder="1" applyAlignment="1" applyProtection="1">
      <alignment horizontal="center" vertical="center"/>
      <protection hidden="1"/>
    </xf>
    <xf numFmtId="0" fontId="22" fillId="0" borderId="0" xfId="0" applyFont="1" applyBorder="1" applyAlignment="1" applyProtection="1">
      <alignment vertical="center" wrapText="1"/>
      <protection hidden="1"/>
    </xf>
    <xf numFmtId="0" fontId="15" fillId="0" borderId="0" xfId="0" applyFont="1" applyBorder="1" applyAlignment="1" applyProtection="1">
      <alignment horizontal="center" vertical="center"/>
      <protection hidden="1"/>
    </xf>
    <xf numFmtId="0" fontId="45" fillId="0" borderId="0" xfId="0" applyFont="1" applyAlignment="1" applyProtection="1">
      <alignment vertical="center"/>
      <protection hidden="1"/>
    </xf>
    <xf numFmtId="0" fontId="29" fillId="0" borderId="0" xfId="0" applyFont="1" applyFill="1" applyBorder="1" applyAlignment="1" applyProtection="1">
      <alignment vertical="center"/>
      <protection hidden="1"/>
    </xf>
    <xf numFmtId="0" fontId="29" fillId="0" borderId="0" xfId="0" applyFont="1" applyAlignment="1" applyProtection="1">
      <alignment vertical="center"/>
      <protection hidden="1"/>
    </xf>
    <xf numFmtId="0" fontId="15" fillId="0" borderId="0" xfId="0" applyFont="1" applyAlignment="1" applyProtection="1">
      <alignment vertical="center"/>
      <protection hidden="1"/>
    </xf>
    <xf numFmtId="184" fontId="10" fillId="2" borderId="1" xfId="1" applyNumberFormat="1" applyFont="1" applyFill="1" applyBorder="1" applyAlignment="1" applyProtection="1">
      <alignment vertical="center"/>
      <protection locked="0"/>
    </xf>
    <xf numFmtId="184" fontId="10" fillId="2" borderId="2" xfId="1" applyNumberFormat="1"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0" borderId="0" xfId="6" applyFont="1" applyAlignment="1">
      <alignment vertical="center"/>
    </xf>
    <xf numFmtId="0" fontId="10" fillId="0" borderId="0" xfId="6" applyFont="1">
      <alignment vertical="center"/>
    </xf>
    <xf numFmtId="0" fontId="7" fillId="0" borderId="0" xfId="6">
      <alignment vertical="center"/>
    </xf>
    <xf numFmtId="0" fontId="10" fillId="0" borderId="0" xfId="6" applyFont="1" applyFill="1" applyBorder="1" applyAlignment="1" applyProtection="1">
      <alignment vertical="center"/>
      <protection hidden="1"/>
    </xf>
    <xf numFmtId="0" fontId="15" fillId="0" borderId="0" xfId="6" applyFont="1" applyFill="1" applyBorder="1" applyAlignment="1" applyProtection="1">
      <alignment vertical="center"/>
      <protection hidden="1"/>
    </xf>
    <xf numFmtId="0" fontId="0" fillId="0" borderId="20" xfId="0" applyBorder="1" applyAlignment="1">
      <alignment vertical="center"/>
    </xf>
    <xf numFmtId="0" fontId="0" fillId="0" borderId="24" xfId="0" applyBorder="1" applyAlignment="1">
      <alignment vertical="center"/>
    </xf>
    <xf numFmtId="0" fontId="26"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23" fillId="0" borderId="0" xfId="0" applyFont="1" applyFill="1" applyAlignment="1" applyProtection="1">
      <alignment vertical="center"/>
      <protection hidden="1"/>
    </xf>
    <xf numFmtId="0" fontId="23" fillId="0" borderId="3" xfId="0" applyFont="1" applyFill="1" applyBorder="1" applyAlignment="1" applyProtection="1">
      <alignment vertical="center"/>
      <protection hidden="1"/>
    </xf>
    <xf numFmtId="0" fontId="0" fillId="0" borderId="3" xfId="0" applyFill="1" applyBorder="1" applyAlignment="1" applyProtection="1">
      <alignment vertical="center"/>
      <protection hidden="1"/>
    </xf>
    <xf numFmtId="0" fontId="0" fillId="0" borderId="18" xfId="0" applyFill="1" applyBorder="1" applyAlignment="1" applyProtection="1">
      <alignment vertical="center"/>
      <protection hidden="1"/>
    </xf>
    <xf numFmtId="0" fontId="0" fillId="0" borderId="17" xfId="0" applyFill="1" applyBorder="1" applyAlignment="1" applyProtection="1">
      <alignment vertical="center"/>
      <protection hidden="1"/>
    </xf>
    <xf numFmtId="0" fontId="0" fillId="0" borderId="24" xfId="0" applyFill="1" applyBorder="1" applyAlignment="1" applyProtection="1">
      <alignment vertical="center"/>
      <protection hidden="1"/>
    </xf>
    <xf numFmtId="0" fontId="16" fillId="0" borderId="54" xfId="0" applyFont="1" applyFill="1" applyBorder="1" applyAlignment="1" applyProtection="1">
      <alignment horizontal="center" vertical="center"/>
      <protection hidden="1"/>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16" fillId="0" borderId="7"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16"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16" fillId="0" borderId="68" xfId="0" applyFont="1" applyFill="1" applyBorder="1" applyAlignment="1" applyProtection="1">
      <alignment horizontal="center" vertical="center"/>
      <protection hidden="1"/>
    </xf>
    <xf numFmtId="0" fontId="3" fillId="0" borderId="18" xfId="0" applyFont="1" applyFill="1" applyBorder="1" applyAlignment="1">
      <alignment horizontal="left" vertical="center"/>
    </xf>
    <xf numFmtId="0" fontId="0" fillId="0" borderId="5" xfId="0" applyBorder="1" applyAlignment="1">
      <alignment horizontal="centerContinuous" vertical="center"/>
    </xf>
    <xf numFmtId="0" fontId="3" fillId="0" borderId="0" xfId="0" applyFont="1" applyFill="1" applyBorder="1" applyAlignment="1" applyProtection="1">
      <alignment vertical="center"/>
    </xf>
    <xf numFmtId="0" fontId="0" fillId="0" borderId="0" xfId="0" applyFill="1" applyBorder="1" applyAlignment="1" applyProtection="1">
      <alignment horizontal="center" vertical="center"/>
    </xf>
    <xf numFmtId="186" fontId="3" fillId="0" borderId="6" xfId="0" applyNumberFormat="1" applyFont="1" applyFill="1" applyBorder="1" applyAlignment="1">
      <alignment horizontal="centerContinuous" vertical="center"/>
    </xf>
    <xf numFmtId="186" fontId="3" fillId="0" borderId="4" xfId="0" applyNumberFormat="1" applyFont="1" applyFill="1" applyBorder="1" applyAlignment="1">
      <alignment horizontal="centerContinuous" vertical="center"/>
    </xf>
    <xf numFmtId="0" fontId="0" fillId="0" borderId="4" xfId="0" applyFill="1" applyBorder="1" applyAlignment="1">
      <alignment horizontal="centerContinuous" vertical="center"/>
    </xf>
    <xf numFmtId="0" fontId="3" fillId="0" borderId="4" xfId="0" applyFont="1" applyFill="1" applyBorder="1" applyAlignment="1">
      <alignment horizontal="left" vertical="center"/>
    </xf>
    <xf numFmtId="38" fontId="0" fillId="0" borderId="4" xfId="2" applyFont="1" applyFill="1" applyBorder="1" applyAlignment="1">
      <alignment horizontal="left" vertical="center"/>
    </xf>
    <xf numFmtId="0" fontId="3" fillId="0" borderId="0" xfId="0" applyFont="1" applyFill="1" applyBorder="1" applyAlignment="1">
      <alignment horizontal="left" vertical="center"/>
    </xf>
    <xf numFmtId="38" fontId="0" fillId="0" borderId="0" xfId="2" applyFont="1" applyFill="1" applyBorder="1" applyAlignment="1">
      <alignment horizontal="left" vertical="center"/>
    </xf>
    <xf numFmtId="0" fontId="0" fillId="0" borderId="8" xfId="0" applyFill="1" applyBorder="1" applyAlignment="1">
      <alignment horizontal="center" vertical="center"/>
    </xf>
    <xf numFmtId="0" fontId="7" fillId="0" borderId="7" xfId="0" applyFont="1" applyFill="1" applyBorder="1" applyAlignment="1">
      <alignment vertical="center"/>
    </xf>
    <xf numFmtId="0" fontId="7" fillId="0" borderId="0" xfId="0" applyFont="1" applyFill="1" applyAlignment="1" applyProtection="1">
      <alignment vertical="center"/>
    </xf>
    <xf numFmtId="186" fontId="7" fillId="0" borderId="6" xfId="0" applyNumberFormat="1" applyFont="1" applyFill="1" applyBorder="1" applyAlignment="1">
      <alignment horizontal="centerContinuous" vertical="center"/>
    </xf>
    <xf numFmtId="0" fontId="7" fillId="0" borderId="3" xfId="0" applyFont="1" applyFill="1" applyBorder="1" applyAlignment="1">
      <alignment horizontal="left" vertical="center"/>
    </xf>
    <xf numFmtId="0" fontId="7" fillId="0" borderId="18" xfId="0" applyFont="1" applyFill="1" applyBorder="1" applyAlignment="1">
      <alignment horizontal="left" vertical="center"/>
    </xf>
    <xf numFmtId="0" fontId="16" fillId="0" borderId="58"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protection hidden="1"/>
    </xf>
    <xf numFmtId="186" fontId="3" fillId="0" borderId="52" xfId="0" applyNumberFormat="1" applyFont="1" applyFill="1" applyBorder="1" applyAlignment="1">
      <alignment horizontal="centerContinuous" vertical="center"/>
    </xf>
    <xf numFmtId="186" fontId="3" fillId="0" borderId="54" xfId="0" applyNumberFormat="1" applyFont="1" applyFill="1" applyBorder="1" applyAlignment="1">
      <alignment horizontal="centerContinuous" vertical="center"/>
    </xf>
    <xf numFmtId="186" fontId="3" fillId="0" borderId="53" xfId="0" applyNumberFormat="1" applyFont="1" applyFill="1" applyBorder="1" applyAlignment="1">
      <alignment horizontal="centerContinuous" vertical="center"/>
    </xf>
    <xf numFmtId="0" fontId="7" fillId="0" borderId="52"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7" fillId="0" borderId="70" xfId="0" applyFont="1" applyFill="1" applyBorder="1" applyAlignment="1">
      <alignment horizontal="left" vertical="center"/>
    </xf>
    <xf numFmtId="0" fontId="7" fillId="0" borderId="69" xfId="0" applyFont="1" applyBorder="1" applyAlignment="1">
      <alignment vertical="center"/>
    </xf>
    <xf numFmtId="0" fontId="7" fillId="0" borderId="48" xfId="0" applyFont="1" applyBorder="1" applyAlignment="1">
      <alignment vertical="center"/>
    </xf>
    <xf numFmtId="0" fontId="7" fillId="0" borderId="42" xfId="0" applyFont="1" applyBorder="1" applyAlignment="1">
      <alignment vertical="center"/>
    </xf>
    <xf numFmtId="0" fontId="7" fillId="0" borderId="67" xfId="0" applyFont="1" applyBorder="1" applyAlignment="1">
      <alignment vertical="center"/>
    </xf>
    <xf numFmtId="0" fontId="7" fillId="0" borderId="10" xfId="0" applyFont="1" applyFill="1" applyBorder="1" applyAlignment="1">
      <alignment horizontal="left" vertical="center"/>
    </xf>
    <xf numFmtId="0" fontId="7" fillId="0" borderId="16" xfId="0" applyFont="1" applyFill="1" applyBorder="1" applyAlignment="1">
      <alignment horizontal="left" vertical="center"/>
    </xf>
    <xf numFmtId="0" fontId="7" fillId="0" borderId="16" xfId="0" applyFont="1" applyBorder="1" applyAlignment="1">
      <alignment vertical="center"/>
    </xf>
    <xf numFmtId="0" fontId="0" fillId="2" borderId="7" xfId="0" applyFill="1" applyBorder="1" applyAlignment="1" applyProtection="1">
      <alignment vertical="center"/>
      <protection locked="0"/>
    </xf>
    <xf numFmtId="0" fontId="0" fillId="2" borderId="52" xfId="0" applyFill="1" applyBorder="1" applyAlignment="1" applyProtection="1">
      <alignment vertical="center"/>
      <protection locked="0"/>
    </xf>
    <xf numFmtId="0" fontId="0" fillId="2" borderId="54" xfId="0" applyFill="1" applyBorder="1" applyAlignment="1" applyProtection="1">
      <alignment vertical="center"/>
      <protection locked="0"/>
    </xf>
    <xf numFmtId="14" fontId="0" fillId="2" borderId="46" xfId="0" applyNumberFormat="1" applyFill="1" applyBorder="1" applyAlignment="1" applyProtection="1">
      <alignment vertical="center"/>
      <protection locked="0"/>
    </xf>
    <xf numFmtId="14" fontId="0" fillId="2" borderId="68" xfId="0" applyNumberFormat="1" applyFill="1" applyBorder="1" applyAlignment="1" applyProtection="1">
      <alignment vertical="center"/>
      <protection locked="0"/>
    </xf>
    <xf numFmtId="14" fontId="0" fillId="2" borderId="53" xfId="0" applyNumberFormat="1" applyFill="1" applyBorder="1" applyAlignment="1" applyProtection="1">
      <alignment vertical="center"/>
      <protection locked="0"/>
    </xf>
    <xf numFmtId="14" fontId="0" fillId="2" borderId="70" xfId="0" applyNumberFormat="1" applyFill="1" applyBorder="1" applyAlignment="1" applyProtection="1">
      <alignment vertical="center"/>
      <protection locked="0"/>
    </xf>
    <xf numFmtId="14" fontId="0" fillId="2" borderId="54" xfId="0" applyNumberFormat="1" applyFill="1" applyBorder="1" applyAlignment="1" applyProtection="1">
      <alignment vertical="center"/>
      <protection locked="0"/>
    </xf>
    <xf numFmtId="0" fontId="7" fillId="0" borderId="0" xfId="0" applyFont="1" applyFill="1" applyBorder="1" applyAlignment="1">
      <alignment vertical="center" wrapText="1"/>
    </xf>
    <xf numFmtId="0" fontId="7" fillId="0" borderId="0" xfId="0" applyFont="1" applyAlignment="1">
      <alignment horizontal="left" vertical="center" wrapText="1" indent="1"/>
    </xf>
    <xf numFmtId="0" fontId="10" fillId="2" borderId="7"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hidden="1"/>
    </xf>
    <xf numFmtId="0" fontId="10" fillId="6" borderId="7" xfId="0" applyFont="1" applyFill="1" applyBorder="1" applyAlignment="1" applyProtection="1">
      <alignment vertical="center"/>
      <protection hidden="1"/>
    </xf>
    <xf numFmtId="0" fontId="10" fillId="6" borderId="0" xfId="0" applyFont="1" applyFill="1" applyAlignment="1" applyProtection="1">
      <alignment vertical="center"/>
      <protection hidden="1"/>
    </xf>
    <xf numFmtId="0" fontId="10" fillId="6" borderId="0" xfId="0" applyFont="1" applyFill="1" applyAlignment="1" applyProtection="1">
      <alignment horizontal="center" vertical="center"/>
      <protection hidden="1"/>
    </xf>
    <xf numFmtId="0" fontId="10" fillId="0" borderId="0" xfId="0" applyFont="1" applyFill="1" applyAlignment="1" applyProtection="1">
      <alignment horizontal="center" vertical="center"/>
      <protection hidden="1"/>
    </xf>
    <xf numFmtId="0" fontId="10" fillId="0" borderId="7" xfId="0" applyFont="1" applyBorder="1" applyAlignment="1">
      <alignment horizontal="centerContinuous" vertical="center" wrapText="1"/>
    </xf>
    <xf numFmtId="0" fontId="10" fillId="0" borderId="7" xfId="0" applyFont="1" applyBorder="1" applyAlignment="1">
      <alignment horizontal="centerContinuous" vertical="center"/>
    </xf>
    <xf numFmtId="0" fontId="10" fillId="2" borderId="7" xfId="0" applyNumberFormat="1" applyFont="1" applyFill="1" applyBorder="1" applyAlignment="1" applyProtection="1">
      <alignment vertical="center" wrapText="1"/>
      <protection locked="0"/>
    </xf>
    <xf numFmtId="182" fontId="10" fillId="2" borderId="7" xfId="0" applyNumberFormat="1" applyFont="1" applyFill="1" applyBorder="1" applyAlignment="1" applyProtection="1">
      <alignment vertical="center"/>
      <protection locked="0"/>
    </xf>
    <xf numFmtId="0" fontId="10" fillId="0" borderId="7" xfId="0" applyFont="1" applyBorder="1" applyAlignment="1">
      <alignment horizontal="center" vertical="center" wrapText="1"/>
    </xf>
    <xf numFmtId="0" fontId="10" fillId="2" borderId="7" xfId="0" applyFont="1" applyFill="1" applyBorder="1" applyAlignment="1" applyProtection="1">
      <alignment vertical="center" wrapText="1"/>
      <protection locked="0"/>
    </xf>
    <xf numFmtId="0" fontId="10" fillId="0" borderId="51" xfId="0" applyFont="1" applyBorder="1" applyAlignment="1">
      <alignment horizontal="centerContinuous" vertical="center"/>
    </xf>
    <xf numFmtId="0" fontId="0" fillId="0" borderId="3" xfId="0" applyFill="1" applyBorder="1" applyAlignment="1"/>
    <xf numFmtId="0" fontId="10" fillId="0" borderId="34" xfId="0" applyFont="1" applyBorder="1" applyAlignment="1">
      <alignment horizontal="center" vertical="center"/>
    </xf>
    <xf numFmtId="0" fontId="10" fillId="0" borderId="71" xfId="0" applyFont="1" applyBorder="1" applyAlignment="1">
      <alignment vertical="center"/>
    </xf>
    <xf numFmtId="0" fontId="10" fillId="0" borderId="16" xfId="0" applyFont="1" applyBorder="1" applyAlignment="1">
      <alignment vertical="center"/>
    </xf>
    <xf numFmtId="182" fontId="7" fillId="3" borderId="70" xfId="0" applyNumberFormat="1" applyFont="1" applyFill="1" applyBorder="1" applyAlignment="1">
      <alignment vertical="center"/>
    </xf>
    <xf numFmtId="0" fontId="10" fillId="6" borderId="7" xfId="0" applyFont="1" applyFill="1" applyBorder="1" applyAlignment="1">
      <alignment vertical="center"/>
    </xf>
    <xf numFmtId="0" fontId="8" fillId="0" borderId="1" xfId="0" applyNumberFormat="1" applyFont="1" applyFill="1" applyBorder="1" applyAlignment="1" applyProtection="1">
      <alignment horizontal="center" vertical="center"/>
      <protection hidden="1"/>
    </xf>
    <xf numFmtId="176" fontId="8" fillId="0" borderId="1" xfId="0" applyNumberFormat="1" applyFont="1" applyFill="1" applyBorder="1" applyAlignment="1" applyProtection="1">
      <alignment horizontal="center" vertical="center"/>
      <protection hidden="1"/>
    </xf>
    <xf numFmtId="0" fontId="8" fillId="0" borderId="0" xfId="0" applyNumberFormat="1" applyFont="1" applyFill="1" applyBorder="1" applyAlignment="1">
      <alignment horizontal="center" vertical="center"/>
    </xf>
    <xf numFmtId="0" fontId="8" fillId="4" borderId="0" xfId="0" applyFont="1" applyFill="1" applyAlignment="1">
      <alignment vertical="center"/>
    </xf>
    <xf numFmtId="49" fontId="15" fillId="0" borderId="0" xfId="0" applyNumberFormat="1" applyFont="1" applyFill="1" applyBorder="1" applyAlignment="1" applyProtection="1">
      <alignment horizontal="left" vertical="center" wrapText="1"/>
    </xf>
    <xf numFmtId="0" fontId="0" fillId="0" borderId="0" xfId="0" applyFill="1" applyBorder="1"/>
    <xf numFmtId="0" fontId="12" fillId="0" borderId="0" xfId="0" applyFont="1" applyFill="1" applyBorder="1" applyAlignment="1">
      <alignment vertical="center"/>
    </xf>
    <xf numFmtId="0" fontId="11" fillId="0" borderId="1" xfId="0" applyFont="1" applyFill="1" applyBorder="1" applyAlignment="1">
      <alignment horizontal="center" vertical="center"/>
    </xf>
    <xf numFmtId="0" fontId="21" fillId="0" borderId="0" xfId="0" applyFont="1" applyFill="1" applyBorder="1" applyAlignment="1">
      <alignment vertical="center"/>
    </xf>
    <xf numFmtId="49" fontId="7" fillId="4" borderId="0" xfId="0" applyNumberFormat="1" applyFont="1" applyFill="1" applyBorder="1" applyAlignment="1">
      <alignment horizontal="center" vertical="center"/>
    </xf>
    <xf numFmtId="38" fontId="7" fillId="4" borderId="20" xfId="2" applyFont="1" applyFill="1" applyBorder="1" applyAlignment="1" applyProtection="1">
      <alignment vertical="center"/>
      <protection locked="0"/>
    </xf>
    <xf numFmtId="38" fontId="7" fillId="4" borderId="20" xfId="2" applyFont="1" applyFill="1" applyBorder="1" applyAlignment="1" applyProtection="1">
      <alignment vertical="center"/>
    </xf>
    <xf numFmtId="49" fontId="7" fillId="4" borderId="17" xfId="0" applyNumberFormat="1" applyFont="1" applyFill="1" applyBorder="1" applyAlignment="1">
      <alignment horizontal="center" vertical="center"/>
    </xf>
    <xf numFmtId="38" fontId="7" fillId="4" borderId="24" xfId="2" applyFont="1" applyFill="1" applyBorder="1" applyAlignment="1" applyProtection="1">
      <alignment vertical="center"/>
    </xf>
    <xf numFmtId="0" fontId="16" fillId="0" borderId="14" xfId="0" applyFont="1" applyBorder="1" applyAlignment="1" applyProtection="1">
      <alignment horizontal="center" vertical="center"/>
      <protection hidden="1"/>
    </xf>
    <xf numFmtId="0" fontId="7" fillId="4" borderId="3" xfId="0" applyFont="1" applyFill="1" applyBorder="1" applyAlignment="1">
      <alignment vertical="center"/>
    </xf>
    <xf numFmtId="0" fontId="9" fillId="4" borderId="0" xfId="0" applyFont="1" applyFill="1" applyBorder="1" applyAlignment="1">
      <alignment vertical="center"/>
    </xf>
    <xf numFmtId="0" fontId="7" fillId="4" borderId="18" xfId="0" applyFont="1" applyFill="1" applyBorder="1" applyAlignment="1">
      <alignment vertical="center"/>
    </xf>
    <xf numFmtId="0" fontId="9" fillId="4" borderId="17" xfId="0" applyFont="1" applyFill="1" applyBorder="1" applyAlignment="1">
      <alignment vertical="center"/>
    </xf>
    <xf numFmtId="38" fontId="7" fillId="4" borderId="24" xfId="2" applyFont="1" applyFill="1" applyBorder="1" applyAlignment="1" applyProtection="1">
      <alignment vertical="center"/>
      <protection locked="0"/>
    </xf>
    <xf numFmtId="0" fontId="22" fillId="0" borderId="0" xfId="0" applyFont="1" applyFill="1" applyBorder="1" applyAlignment="1">
      <alignment horizontal="centerContinuous" vertical="center"/>
    </xf>
    <xf numFmtId="0" fontId="0" fillId="0" borderId="0" xfId="0" applyBorder="1" applyAlignment="1">
      <alignment horizontal="centerContinuous" vertical="center"/>
    </xf>
    <xf numFmtId="0" fontId="16" fillId="0" borderId="0" xfId="0" applyFont="1" applyFill="1" applyBorder="1" applyAlignment="1" applyProtection="1">
      <alignment horizontal="centerContinuous" vertical="center"/>
      <protection hidden="1"/>
    </xf>
    <xf numFmtId="0" fontId="7" fillId="6" borderId="7" xfId="0" applyFont="1" applyFill="1" applyBorder="1" applyAlignment="1">
      <alignment horizontal="center" vertical="center"/>
    </xf>
    <xf numFmtId="0" fontId="21" fillId="6" borderId="7" xfId="0" applyFont="1" applyFill="1" applyBorder="1" applyAlignment="1">
      <alignment vertical="center"/>
    </xf>
    <xf numFmtId="0" fontId="0" fillId="0" borderId="0" xfId="0" applyFill="1" applyAlignment="1">
      <alignment horizontal="centerContinuous" vertical="center"/>
    </xf>
    <xf numFmtId="0" fontId="12" fillId="4" borderId="0" xfId="0" applyFont="1" applyFill="1" applyAlignment="1">
      <alignment vertical="center"/>
    </xf>
    <xf numFmtId="0" fontId="3" fillId="0" borderId="0" xfId="9" applyFont="1" applyFill="1" applyAlignment="1">
      <alignment vertical="center"/>
    </xf>
    <xf numFmtId="0" fontId="15" fillId="0" borderId="3" xfId="0" applyFont="1" applyBorder="1" applyAlignment="1">
      <alignment horizontal="center" vertical="center"/>
    </xf>
    <xf numFmtId="0" fontId="23" fillId="0" borderId="0" xfId="0" applyFont="1" applyFill="1" applyBorder="1" applyAlignment="1" applyProtection="1">
      <alignment horizontal="center" vertical="center"/>
      <protection hidden="1"/>
    </xf>
    <xf numFmtId="0" fontId="10" fillId="0" borderId="46" xfId="0" applyFont="1" applyBorder="1" applyAlignment="1">
      <alignment horizontal="center" vertical="center"/>
    </xf>
    <xf numFmtId="0" fontId="3" fillId="0" borderId="0" xfId="9" applyFont="1" applyFill="1" applyBorder="1" applyAlignment="1">
      <alignment vertical="center"/>
    </xf>
    <xf numFmtId="0" fontId="47" fillId="7" borderId="0" xfId="8" applyFont="1" applyFill="1" applyBorder="1" applyAlignment="1" applyProtection="1">
      <alignment horizontal="left" vertical="center"/>
      <protection hidden="1"/>
    </xf>
    <xf numFmtId="0" fontId="48" fillId="0" borderId="0" xfId="8" applyFont="1" applyFill="1" applyBorder="1" applyAlignment="1">
      <alignment horizontal="left" vertical="center"/>
    </xf>
    <xf numFmtId="176" fontId="8" fillId="0" borderId="0" xfId="8" applyNumberFormat="1" applyFont="1" applyFill="1" applyBorder="1" applyAlignment="1" applyProtection="1">
      <alignment vertical="center"/>
      <protection hidden="1"/>
    </xf>
    <xf numFmtId="0" fontId="49" fillId="0" borderId="0" xfId="8" applyFont="1" applyFill="1" applyBorder="1" applyAlignment="1">
      <alignment horizontal="left" vertical="center"/>
    </xf>
    <xf numFmtId="0" fontId="8" fillId="0" borderId="0" xfId="8" applyFont="1" applyFill="1" applyBorder="1" applyAlignment="1" applyProtection="1">
      <alignment vertical="center"/>
      <protection hidden="1"/>
    </xf>
    <xf numFmtId="0" fontId="8" fillId="0" borderId="0" xfId="8" applyFont="1" applyFill="1" applyBorder="1" applyAlignment="1">
      <alignment vertical="center"/>
    </xf>
    <xf numFmtId="176" fontId="48" fillId="0" borderId="0" xfId="8" applyNumberFormat="1" applyFont="1" applyFill="1" applyBorder="1" applyAlignment="1">
      <alignment horizontal="left" vertical="center"/>
    </xf>
    <xf numFmtId="0" fontId="48" fillId="0" borderId="0" xfId="8" applyFont="1" applyFill="1" applyBorder="1" applyAlignment="1" applyProtection="1">
      <alignment horizontal="left" vertical="center"/>
      <protection hidden="1"/>
    </xf>
    <xf numFmtId="176" fontId="16" fillId="0" borderId="0" xfId="8" applyNumberFormat="1" applyFont="1" applyFill="1" applyBorder="1" applyAlignment="1" applyProtection="1">
      <alignment vertical="center"/>
      <protection hidden="1"/>
    </xf>
    <xf numFmtId="0" fontId="48" fillId="0" borderId="0" xfId="9" applyFont="1" applyFill="1" applyBorder="1" applyAlignment="1">
      <alignment horizontal="left" vertical="center"/>
    </xf>
    <xf numFmtId="0" fontId="48" fillId="4" borderId="0" xfId="8" applyFont="1" applyFill="1" applyBorder="1" applyAlignment="1">
      <alignment horizontal="left" vertical="center"/>
    </xf>
    <xf numFmtId="0" fontId="48" fillId="7" borderId="0" xfId="8" applyFont="1" applyFill="1" applyBorder="1" applyAlignment="1">
      <alignment horizontal="left" vertical="center"/>
    </xf>
    <xf numFmtId="0" fontId="48" fillId="4" borderId="0" xfId="8" applyFont="1" applyFill="1" applyBorder="1" applyAlignment="1" applyProtection="1">
      <alignment horizontal="left" vertical="center"/>
      <protection hidden="1"/>
    </xf>
    <xf numFmtId="0" fontId="48" fillId="0" borderId="0" xfId="13" applyFont="1" applyFill="1" applyBorder="1" applyAlignment="1">
      <alignment horizontal="left" vertical="center"/>
    </xf>
    <xf numFmtId="0" fontId="48" fillId="0" borderId="0" xfId="8" applyFont="1" applyFill="1" applyBorder="1" applyAlignment="1">
      <alignment horizontal="left" vertical="center" shrinkToFit="1"/>
    </xf>
    <xf numFmtId="0" fontId="7" fillId="0" borderId="0" xfId="8" applyFont="1" applyFill="1" applyBorder="1" applyAlignment="1">
      <alignment vertical="center"/>
    </xf>
    <xf numFmtId="0" fontId="48" fillId="2" borderId="0" xfId="8" applyFont="1" applyFill="1" applyBorder="1" applyAlignment="1" applyProtection="1">
      <alignment horizontal="left" vertical="center"/>
      <protection hidden="1"/>
    </xf>
    <xf numFmtId="0" fontId="48" fillId="2" borderId="0" xfId="8" applyFont="1" applyFill="1" applyBorder="1" applyAlignment="1">
      <alignment horizontal="left" vertical="center"/>
    </xf>
    <xf numFmtId="0" fontId="7" fillId="0" borderId="0" xfId="8" applyFill="1" applyBorder="1" applyAlignment="1">
      <alignment vertical="center"/>
    </xf>
    <xf numFmtId="0" fontId="48" fillId="4" borderId="0" xfId="6" applyFont="1" applyFill="1" applyBorder="1" applyAlignment="1">
      <alignment horizontal="left" vertical="center"/>
    </xf>
    <xf numFmtId="179" fontId="48" fillId="0" borderId="0" xfId="8" applyNumberFormat="1" applyFont="1" applyFill="1" applyBorder="1" applyAlignment="1">
      <alignment horizontal="left" vertical="center"/>
    </xf>
    <xf numFmtId="0" fontId="10" fillId="0" borderId="0" xfId="8" applyFont="1" applyFill="1" applyBorder="1" applyAlignment="1">
      <alignment vertical="center"/>
    </xf>
    <xf numFmtId="0" fontId="48" fillId="0" borderId="0" xfId="10" applyFont="1" applyFill="1" applyBorder="1" applyAlignment="1">
      <alignment horizontal="left" vertical="center"/>
    </xf>
    <xf numFmtId="0" fontId="48" fillId="0" borderId="0" xfId="6" applyFont="1" applyFill="1" applyBorder="1" applyAlignment="1">
      <alignment horizontal="left" vertical="center"/>
    </xf>
    <xf numFmtId="0" fontId="48" fillId="0" borderId="0" xfId="8" applyFont="1" applyBorder="1" applyAlignment="1">
      <alignment horizontal="left" vertical="center"/>
    </xf>
    <xf numFmtId="0" fontId="7" fillId="0" borderId="0" xfId="8" applyBorder="1" applyAlignment="1">
      <alignment vertical="center"/>
    </xf>
    <xf numFmtId="0" fontId="7" fillId="0" borderId="0" xfId="6" applyFill="1" applyBorder="1" applyAlignment="1">
      <alignment vertical="center"/>
    </xf>
    <xf numFmtId="0" fontId="10" fillId="0" borderId="3" xfId="0" applyFont="1" applyBorder="1" applyAlignment="1" applyProtection="1">
      <alignment vertical="center"/>
      <protection hidden="1"/>
    </xf>
    <xf numFmtId="0" fontId="10" fillId="0" borderId="58" xfId="11" applyFont="1" applyBorder="1" applyProtection="1">
      <alignment vertical="center"/>
    </xf>
    <xf numFmtId="0" fontId="10" fillId="0" borderId="3" xfId="11" applyFont="1" applyBorder="1" applyProtection="1">
      <alignment vertical="center"/>
    </xf>
    <xf numFmtId="0" fontId="29" fillId="0" borderId="58" xfId="11" applyFont="1" applyBorder="1" applyProtection="1">
      <alignment vertical="center"/>
    </xf>
    <xf numFmtId="0" fontId="43" fillId="0" borderId="58" xfId="11" applyFont="1" applyBorder="1" applyProtection="1">
      <alignment vertical="center"/>
    </xf>
    <xf numFmtId="0" fontId="15" fillId="0" borderId="58" xfId="11" applyFont="1" applyBorder="1" applyProtection="1">
      <alignment vertical="center"/>
    </xf>
    <xf numFmtId="0" fontId="15" fillId="0" borderId="25" xfId="9" applyFont="1" applyBorder="1" applyAlignment="1" applyProtection="1">
      <alignment horizontal="center" vertical="center"/>
      <protection hidden="1"/>
    </xf>
    <xf numFmtId="0" fontId="15" fillId="0" borderId="33" xfId="0" applyFont="1" applyFill="1" applyBorder="1" applyAlignment="1" applyProtection="1">
      <alignment horizontal="center" vertical="center"/>
      <protection hidden="1"/>
    </xf>
    <xf numFmtId="0" fontId="15" fillId="0" borderId="25" xfId="0" applyFont="1" applyFill="1" applyBorder="1" applyAlignment="1" applyProtection="1">
      <alignment horizontal="center" vertical="center"/>
      <protection hidden="1"/>
    </xf>
    <xf numFmtId="0" fontId="15" fillId="0" borderId="57" xfId="0" applyFont="1" applyFill="1" applyBorder="1" applyAlignment="1" applyProtection="1">
      <alignment horizontal="center" vertical="center"/>
      <protection hidden="1"/>
    </xf>
    <xf numFmtId="0" fontId="15" fillId="0" borderId="73" xfId="0" applyFont="1" applyFill="1" applyBorder="1" applyAlignment="1" applyProtection="1">
      <alignment horizontal="center" vertical="center"/>
      <protection hidden="1"/>
    </xf>
    <xf numFmtId="3" fontId="10" fillId="9" borderId="32" xfId="0" applyNumberFormat="1" applyFont="1" applyFill="1" applyBorder="1" applyAlignment="1" applyProtection="1">
      <alignment vertical="center"/>
      <protection locked="0"/>
    </xf>
    <xf numFmtId="3" fontId="10" fillId="9" borderId="25" xfId="0" applyNumberFormat="1" applyFont="1" applyFill="1" applyBorder="1" applyAlignment="1" applyProtection="1">
      <alignment vertical="center"/>
      <protection locked="0"/>
    </xf>
    <xf numFmtId="0" fontId="10" fillId="9" borderId="16" xfId="0" applyFont="1" applyFill="1" applyBorder="1" applyAlignment="1">
      <alignment vertical="center"/>
    </xf>
    <xf numFmtId="0" fontId="10" fillId="9" borderId="25" xfId="0" applyFont="1" applyFill="1" applyBorder="1" applyAlignment="1" applyProtection="1">
      <alignment horizontal="right" vertical="center"/>
      <protection locked="0"/>
    </xf>
    <xf numFmtId="0" fontId="10" fillId="9" borderId="25" xfId="0" applyFont="1" applyFill="1" applyBorder="1" applyAlignment="1" applyProtection="1">
      <alignment vertical="center"/>
      <protection locked="0"/>
    </xf>
    <xf numFmtId="3" fontId="10" fillId="9" borderId="25" xfId="0" applyNumberFormat="1" applyFont="1" applyFill="1" applyBorder="1" applyAlignment="1" applyProtection="1">
      <alignment vertical="center"/>
      <protection hidden="1"/>
    </xf>
    <xf numFmtId="0" fontId="10" fillId="9" borderId="10" xfId="0" applyFont="1" applyFill="1" applyBorder="1" applyAlignment="1">
      <alignment vertical="center"/>
    </xf>
    <xf numFmtId="3" fontId="10" fillId="9" borderId="33" xfId="0" applyNumberFormat="1" applyFont="1" applyFill="1" applyBorder="1" applyAlignment="1" applyProtection="1">
      <alignment horizontal="center" vertical="center"/>
      <protection locked="0"/>
    </xf>
    <xf numFmtId="182" fontId="10" fillId="0" borderId="8" xfId="0" applyNumberFormat="1" applyFont="1" applyFill="1" applyBorder="1" applyAlignment="1">
      <alignment horizontal="right" vertical="center"/>
    </xf>
    <xf numFmtId="0" fontId="7" fillId="0" borderId="2" xfId="0" applyFont="1" applyFill="1" applyBorder="1" applyAlignment="1">
      <alignment horizontal="centerContinuous" vertical="center"/>
    </xf>
    <xf numFmtId="0" fontId="23" fillId="0" borderId="2" xfId="0" applyFont="1" applyBorder="1" applyAlignment="1">
      <alignment horizontal="centerContinuous" vertical="center"/>
    </xf>
    <xf numFmtId="0" fontId="0" fillId="0" borderId="6" xfId="0" applyFont="1" applyFill="1" applyBorder="1" applyAlignment="1">
      <alignment vertical="center"/>
    </xf>
    <xf numFmtId="38" fontId="3" fillId="3" borderId="1" xfId="2" applyNumberFormat="1" applyFill="1" applyBorder="1" applyAlignment="1" applyProtection="1">
      <alignment vertical="center"/>
      <protection hidden="1"/>
    </xf>
    <xf numFmtId="0" fontId="20" fillId="0" borderId="7" xfId="0" applyFont="1" applyBorder="1" applyAlignment="1" applyProtection="1">
      <alignment horizontal="center" vertical="center" wrapText="1"/>
      <protection hidden="1"/>
    </xf>
    <xf numFmtId="0" fontId="0" fillId="0" borderId="0" xfId="0" applyAlignment="1">
      <alignment vertical="center"/>
    </xf>
    <xf numFmtId="0" fontId="8" fillId="0" borderId="0" xfId="0" applyFont="1" applyFill="1" applyBorder="1" applyAlignment="1">
      <alignment vertical="center" wrapText="1"/>
    </xf>
    <xf numFmtId="0" fontId="21" fillId="6" borderId="7" xfId="0" applyFont="1" applyFill="1" applyBorder="1" applyAlignment="1">
      <alignment horizontal="center" vertical="center"/>
    </xf>
    <xf numFmtId="0" fontId="0" fillId="0" borderId="0" xfId="0" applyAlignment="1">
      <alignment vertical="center"/>
    </xf>
    <xf numFmtId="0" fontId="0" fillId="0" borderId="7" xfId="0" applyBorder="1" applyAlignment="1">
      <alignment horizontal="left" vertical="center"/>
    </xf>
    <xf numFmtId="0" fontId="3" fillId="0" borderId="2" xfId="0" applyFont="1" applyBorder="1" applyAlignment="1">
      <alignment vertical="center"/>
    </xf>
    <xf numFmtId="0" fontId="3" fillId="0" borderId="1" xfId="0" applyFont="1" applyBorder="1" applyAlignment="1">
      <alignment vertical="center"/>
    </xf>
    <xf numFmtId="38" fontId="3" fillId="2" borderId="1" xfId="2" applyFont="1" applyFill="1" applyBorder="1" applyAlignment="1" applyProtection="1">
      <alignment vertical="center"/>
      <protection locked="0"/>
    </xf>
    <xf numFmtId="38" fontId="3" fillId="2" borderId="7" xfId="2" applyFont="1" applyFill="1" applyBorder="1" applyAlignment="1" applyProtection="1">
      <alignment horizontal="right" vertical="center"/>
      <protection locked="0"/>
    </xf>
    <xf numFmtId="182" fontId="10" fillId="2" borderId="2" xfId="0" applyNumberFormat="1" applyFont="1" applyFill="1" applyBorder="1" applyAlignment="1" applyProtection="1">
      <alignment vertical="center"/>
      <protection locked="0"/>
    </xf>
    <xf numFmtId="38" fontId="3" fillId="2" borderId="1" xfId="2" applyFill="1" applyBorder="1" applyAlignment="1" applyProtection="1">
      <alignment vertical="center"/>
      <protection locked="0"/>
    </xf>
    <xf numFmtId="0" fontId="7" fillId="0" borderId="9" xfId="0" applyFont="1" applyFill="1" applyBorder="1" applyAlignment="1">
      <alignment horizontal="left" vertical="center"/>
    </xf>
    <xf numFmtId="0" fontId="7" fillId="0" borderId="9" xfId="0" applyFont="1" applyBorder="1" applyAlignment="1">
      <alignment vertical="center"/>
    </xf>
    <xf numFmtId="0" fontId="7"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8" fillId="0" borderId="3" xfId="0" applyFont="1" applyFill="1" applyBorder="1" applyAlignment="1">
      <alignment vertical="center" wrapText="1"/>
    </xf>
    <xf numFmtId="0" fontId="0" fillId="0" borderId="3" xfId="0" applyFont="1" applyFill="1" applyBorder="1" applyAlignment="1">
      <alignment horizontal="center" vertical="center"/>
    </xf>
    <xf numFmtId="0" fontId="17" fillId="0" borderId="3" xfId="0" applyFont="1" applyFill="1" applyBorder="1" applyAlignment="1">
      <alignment horizontal="left" vertical="center"/>
    </xf>
    <xf numFmtId="0" fontId="24" fillId="0" borderId="0" xfId="0" applyFont="1" applyBorder="1" applyAlignment="1">
      <alignment vertical="center"/>
    </xf>
    <xf numFmtId="0" fontId="20" fillId="0" borderId="7" xfId="0" applyFont="1" applyBorder="1" applyAlignment="1" applyProtection="1">
      <alignment horizontal="left" vertical="center"/>
      <protection hidden="1"/>
    </xf>
    <xf numFmtId="38" fontId="10" fillId="0" borderId="0" xfId="0" quotePrefix="1" applyNumberFormat="1" applyFont="1" applyAlignment="1">
      <alignment vertical="center"/>
    </xf>
    <xf numFmtId="0" fontId="10" fillId="2" borderId="5" xfId="0" applyFont="1" applyFill="1" applyBorder="1" applyAlignment="1" applyProtection="1">
      <alignment horizontal="left" vertical="center" wrapText="1"/>
      <protection locked="0"/>
    </xf>
    <xf numFmtId="38" fontId="3" fillId="0" borderId="4" xfId="2" applyFont="1" applyFill="1" applyBorder="1" applyAlignment="1" applyProtection="1">
      <alignment vertical="center"/>
    </xf>
    <xf numFmtId="38" fontId="7" fillId="0" borderId="12" xfId="2" applyFont="1" applyBorder="1" applyAlignment="1">
      <alignment horizontal="left" vertical="center"/>
    </xf>
    <xf numFmtId="38" fontId="7" fillId="0" borderId="44" xfId="2" applyFont="1" applyBorder="1" applyAlignment="1">
      <alignment horizontal="left" vertical="center"/>
    </xf>
    <xf numFmtId="184" fontId="10" fillId="2" borderId="7" xfId="1" applyNumberFormat="1" applyFont="1" applyFill="1" applyBorder="1" applyAlignment="1" applyProtection="1">
      <alignment vertical="center"/>
      <protection locked="0"/>
    </xf>
    <xf numFmtId="0" fontId="0" fillId="0" borderId="24" xfId="0" applyBorder="1" applyAlignment="1">
      <alignment vertical="center"/>
    </xf>
    <xf numFmtId="0" fontId="16" fillId="0" borderId="78" xfId="0" applyFont="1" applyFill="1" applyBorder="1" applyAlignment="1" applyProtection="1">
      <alignment horizontal="center" vertical="center"/>
      <protection hidden="1"/>
    </xf>
    <xf numFmtId="0" fontId="16" fillId="0" borderId="55" xfId="0" applyFont="1" applyFill="1" applyBorder="1" applyAlignment="1" applyProtection="1">
      <alignment horizontal="center" vertical="center"/>
      <protection hidden="1"/>
    </xf>
    <xf numFmtId="0" fontId="28" fillId="0" borderId="17" xfId="0" applyFont="1" applyBorder="1" applyAlignment="1">
      <alignment vertical="center"/>
    </xf>
    <xf numFmtId="0" fontId="28" fillId="0" borderId="24" xfId="0" applyFont="1" applyBorder="1" applyAlignment="1">
      <alignment vertical="center"/>
    </xf>
    <xf numFmtId="38" fontId="3" fillId="2" borderId="20" xfId="2" applyFill="1" applyBorder="1" applyAlignment="1" applyProtection="1">
      <alignment vertical="center"/>
      <protection locked="0"/>
    </xf>
    <xf numFmtId="0" fontId="7" fillId="0" borderId="12" xfId="0" applyFont="1" applyBorder="1" applyAlignment="1">
      <alignment horizontal="center" vertical="center"/>
    </xf>
    <xf numFmtId="0" fontId="7" fillId="0" borderId="22" xfId="0" applyFont="1" applyBorder="1" applyAlignment="1">
      <alignment vertical="center"/>
    </xf>
    <xf numFmtId="0" fontId="16" fillId="0" borderId="55" xfId="0" applyFont="1" applyBorder="1" applyAlignment="1" applyProtection="1">
      <alignment horizontal="center" vertical="center"/>
      <protection hidden="1"/>
    </xf>
    <xf numFmtId="38" fontId="3" fillId="2" borderId="22" xfId="2" applyFill="1" applyBorder="1" applyAlignment="1" applyProtection="1">
      <alignment vertical="center"/>
      <protection locked="0"/>
    </xf>
    <xf numFmtId="38" fontId="3" fillId="3" borderId="22" xfId="2" applyFill="1" applyBorder="1" applyAlignment="1" applyProtection="1">
      <alignment vertical="center"/>
      <protection hidden="1"/>
    </xf>
    <xf numFmtId="0" fontId="28" fillId="0" borderId="22" xfId="0" applyFont="1" applyBorder="1" applyAlignment="1">
      <alignment vertical="center"/>
    </xf>
    <xf numFmtId="0" fontId="28" fillId="0" borderId="12" xfId="0" applyFont="1" applyBorder="1" applyAlignment="1">
      <alignment horizontal="center" vertical="center"/>
    </xf>
    <xf numFmtId="0" fontId="28" fillId="0" borderId="10" xfId="0" applyFont="1" applyBorder="1" applyAlignment="1">
      <alignment vertical="center"/>
    </xf>
    <xf numFmtId="0" fontId="7" fillId="0" borderId="33" xfId="0" applyFont="1" applyBorder="1" applyAlignment="1">
      <alignment horizontal="center" vertical="center"/>
    </xf>
    <xf numFmtId="0" fontId="7" fillId="0" borderId="44" xfId="0" applyFont="1" applyBorder="1" applyAlignment="1">
      <alignment horizontal="center" vertical="center"/>
    </xf>
    <xf numFmtId="0" fontId="7" fillId="0" borderId="57" xfId="0" applyFont="1" applyBorder="1" applyAlignment="1">
      <alignment horizontal="center" vertical="center"/>
    </xf>
    <xf numFmtId="0" fontId="7" fillId="0" borderId="29" xfId="0" applyFont="1" applyFill="1" applyBorder="1" applyAlignment="1">
      <alignment horizontal="left" vertical="center"/>
    </xf>
    <xf numFmtId="0" fontId="0" fillId="0" borderId="15" xfId="0" applyBorder="1" applyAlignment="1">
      <alignment vertical="center"/>
    </xf>
    <xf numFmtId="38" fontId="0" fillId="0" borderId="31" xfId="2" applyFont="1" applyBorder="1" applyAlignment="1">
      <alignment horizontal="left" vertical="center"/>
    </xf>
    <xf numFmtId="183" fontId="7" fillId="2" borderId="60" xfId="2" applyNumberFormat="1" applyFont="1" applyFill="1" applyBorder="1" applyAlignment="1" applyProtection="1">
      <alignment vertical="center"/>
      <protection locked="0"/>
    </xf>
    <xf numFmtId="0" fontId="7" fillId="0" borderId="39" xfId="0" applyFont="1" applyFill="1" applyBorder="1" applyAlignment="1">
      <alignment horizontal="left" vertical="center"/>
    </xf>
    <xf numFmtId="0" fontId="0" fillId="0" borderId="10" xfId="0" applyBorder="1" applyAlignment="1">
      <alignment vertical="center"/>
    </xf>
    <xf numFmtId="38" fontId="0" fillId="0" borderId="22" xfId="2" applyFont="1" applyBorder="1" applyAlignment="1">
      <alignment horizontal="left" vertical="center"/>
    </xf>
    <xf numFmtId="183" fontId="7" fillId="2" borderId="61" xfId="2" applyNumberFormat="1" applyFont="1" applyFill="1" applyBorder="1" applyAlignment="1" applyProtection="1">
      <alignment vertical="center"/>
      <protection locked="0"/>
    </xf>
    <xf numFmtId="0" fontId="0" fillId="0" borderId="39" xfId="0" applyFill="1" applyBorder="1" applyAlignment="1">
      <alignment horizontal="left" vertical="center"/>
    </xf>
    <xf numFmtId="0" fontId="7" fillId="0" borderId="30" xfId="0" applyFont="1" applyFill="1" applyBorder="1" applyAlignment="1">
      <alignment horizontal="left" vertical="center"/>
    </xf>
    <xf numFmtId="0" fontId="0" fillId="0" borderId="11" xfId="0" applyBorder="1" applyAlignment="1">
      <alignment vertical="center"/>
    </xf>
    <xf numFmtId="38" fontId="0" fillId="0" borderId="21" xfId="2" applyFont="1" applyBorder="1" applyAlignment="1">
      <alignment horizontal="left" vertical="center"/>
    </xf>
    <xf numFmtId="183" fontId="7" fillId="2" borderId="49" xfId="2" applyNumberFormat="1" applyFont="1" applyFill="1" applyBorder="1" applyAlignment="1" applyProtection="1">
      <alignment vertical="center"/>
      <protection locked="0"/>
    </xf>
    <xf numFmtId="0" fontId="7" fillId="0" borderId="58" xfId="0" applyFont="1" applyFill="1" applyBorder="1" applyAlignment="1">
      <alignment horizontal="left" vertical="center"/>
    </xf>
    <xf numFmtId="0" fontId="7" fillId="0" borderId="14" xfId="0" applyFont="1" applyBorder="1" applyAlignment="1">
      <alignment vertical="center"/>
    </xf>
    <xf numFmtId="0" fontId="0" fillId="0" borderId="29" xfId="0" applyFill="1" applyBorder="1" applyAlignment="1">
      <alignment horizontal="left" vertical="center"/>
    </xf>
    <xf numFmtId="38" fontId="7" fillId="0" borderId="22" xfId="2" applyFont="1" applyBorder="1" applyAlignment="1">
      <alignment horizontal="left" vertical="center"/>
    </xf>
    <xf numFmtId="38" fontId="7" fillId="2" borderId="61" xfId="2" applyFont="1" applyFill="1" applyBorder="1" applyAlignment="1" applyProtection="1">
      <alignment vertical="center"/>
      <protection locked="0"/>
    </xf>
    <xf numFmtId="38" fontId="7" fillId="0" borderId="61" xfId="2" applyFont="1" applyBorder="1" applyAlignment="1">
      <alignment horizontal="left" vertical="center"/>
    </xf>
    <xf numFmtId="38" fontId="7" fillId="0" borderId="45" xfId="2" applyFont="1" applyBorder="1" applyAlignment="1">
      <alignment horizontal="left" vertical="center"/>
    </xf>
    <xf numFmtId="186" fontId="7" fillId="0" borderId="3" xfId="0" applyNumberFormat="1" applyFont="1" applyFill="1" applyBorder="1" applyAlignment="1">
      <alignment horizontal="centerContinuous" vertical="center"/>
    </xf>
    <xf numFmtId="0" fontId="0" fillId="0" borderId="20" xfId="0" applyBorder="1" applyAlignment="1">
      <alignment horizontal="centerContinuous" vertical="center"/>
    </xf>
    <xf numFmtId="0" fontId="7" fillId="0" borderId="49" xfId="0" applyFont="1" applyBorder="1" applyAlignment="1">
      <alignment vertical="center"/>
    </xf>
    <xf numFmtId="38" fontId="7" fillId="0" borderId="31" xfId="2" applyFont="1" applyBorder="1" applyAlignment="1">
      <alignment horizontal="left" vertical="center"/>
    </xf>
    <xf numFmtId="0" fontId="10" fillId="0" borderId="35" xfId="0" applyFont="1" applyFill="1" applyBorder="1" applyAlignment="1" applyProtection="1">
      <alignment horizontal="center" vertical="center" wrapText="1"/>
      <protection hidden="1"/>
    </xf>
    <xf numFmtId="0" fontId="15" fillId="0" borderId="52" xfId="0" applyFont="1" applyFill="1" applyBorder="1" applyAlignment="1" applyProtection="1">
      <alignment horizontal="center" vertical="center" wrapText="1"/>
      <protection hidden="1"/>
    </xf>
    <xf numFmtId="183" fontId="7" fillId="2" borderId="31" xfId="2" applyNumberFormat="1" applyFont="1" applyFill="1" applyBorder="1" applyAlignment="1" applyProtection="1">
      <alignment vertical="center"/>
      <protection locked="0"/>
    </xf>
    <xf numFmtId="0" fontId="10" fillId="0" borderId="55" xfId="0" applyFont="1" applyFill="1" applyBorder="1" applyAlignment="1" applyProtection="1">
      <alignment horizontal="center" vertical="center" wrapText="1"/>
      <protection hidden="1"/>
    </xf>
    <xf numFmtId="0" fontId="15" fillId="0" borderId="53" xfId="0" applyFont="1" applyFill="1" applyBorder="1" applyAlignment="1" applyProtection="1">
      <alignment horizontal="center" vertical="center" wrapText="1"/>
      <protection hidden="1"/>
    </xf>
    <xf numFmtId="183" fontId="7" fillId="2" borderId="22" xfId="2" applyNumberFormat="1" applyFont="1" applyFill="1" applyBorder="1" applyAlignment="1" applyProtection="1">
      <alignment vertical="center"/>
      <protection locked="0"/>
    </xf>
    <xf numFmtId="0" fontId="10" fillId="0" borderId="36" xfId="0" applyFont="1" applyFill="1" applyBorder="1" applyAlignment="1" applyProtection="1">
      <alignment horizontal="center" vertical="center" wrapText="1"/>
      <protection hidden="1"/>
    </xf>
    <xf numFmtId="0" fontId="15" fillId="0" borderId="54" xfId="0" applyFont="1" applyFill="1" applyBorder="1" applyAlignment="1" applyProtection="1">
      <alignment horizontal="center" vertical="center" wrapText="1"/>
      <protection hidden="1"/>
    </xf>
    <xf numFmtId="183" fontId="7" fillId="2" borderId="21" xfId="2" applyNumberFormat="1" applyFont="1" applyFill="1" applyBorder="1" applyAlignment="1" applyProtection="1">
      <alignment vertical="center"/>
      <protection locked="0"/>
    </xf>
    <xf numFmtId="3" fontId="10" fillId="2" borderId="32" xfId="0" applyNumberFormat="1" applyFont="1" applyFill="1" applyBorder="1" applyAlignment="1" applyProtection="1">
      <alignment vertical="center"/>
      <protection locked="0"/>
    </xf>
    <xf numFmtId="3" fontId="10" fillId="2" borderId="25" xfId="0" applyNumberFormat="1" applyFont="1" applyFill="1" applyBorder="1" applyAlignment="1" applyProtection="1">
      <alignment vertical="center"/>
      <protection locked="0"/>
    </xf>
    <xf numFmtId="0" fontId="0" fillId="8" borderId="0" xfId="0" applyFill="1" applyAlignment="1">
      <alignment horizontal="center" vertical="center"/>
    </xf>
    <xf numFmtId="3" fontId="10" fillId="9" borderId="38" xfId="0" applyNumberFormat="1"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locked="0"/>
    </xf>
    <xf numFmtId="0" fontId="10" fillId="9" borderId="27" xfId="0" applyFont="1" applyFill="1" applyBorder="1" applyAlignment="1">
      <alignment vertical="center"/>
    </xf>
    <xf numFmtId="0" fontId="10" fillId="9" borderId="27" xfId="0" applyFont="1" applyFill="1" applyBorder="1" applyAlignment="1" applyProtection="1">
      <alignment horizontal="right" vertical="center"/>
      <protection locked="0"/>
    </xf>
    <xf numFmtId="0" fontId="10" fillId="9" borderId="27" xfId="0"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hidden="1"/>
    </xf>
    <xf numFmtId="3" fontId="10" fillId="9" borderId="27" xfId="0" applyNumberFormat="1" applyFont="1" applyFill="1" applyBorder="1" applyAlignment="1" applyProtection="1">
      <alignment horizontal="center" vertical="center"/>
      <protection locked="0"/>
    </xf>
    <xf numFmtId="0" fontId="23" fillId="2" borderId="52" xfId="10" applyFont="1" applyFill="1" applyBorder="1" applyAlignment="1" applyProtection="1">
      <alignment horizontal="center" vertical="center"/>
      <protection locked="0"/>
    </xf>
    <xf numFmtId="0" fontId="7" fillId="0" borderId="29" xfId="0" applyFont="1" applyBorder="1" applyAlignment="1">
      <alignment vertical="center"/>
    </xf>
    <xf numFmtId="0" fontId="10" fillId="0" borderId="31" xfId="10" applyFont="1" applyBorder="1" applyAlignment="1">
      <alignment vertical="center"/>
    </xf>
    <xf numFmtId="0" fontId="23" fillId="2" borderId="53" xfId="10" applyFont="1" applyFill="1" applyBorder="1" applyAlignment="1" applyProtection="1">
      <alignment horizontal="center" vertical="center"/>
      <protection locked="0"/>
    </xf>
    <xf numFmtId="0" fontId="7" fillId="0" borderId="39" xfId="0" applyFont="1" applyBorder="1" applyAlignment="1">
      <alignment vertical="center"/>
    </xf>
    <xf numFmtId="0" fontId="10" fillId="0" borderId="22" xfId="10" applyFont="1" applyBorder="1" applyAlignment="1">
      <alignment vertical="center"/>
    </xf>
    <xf numFmtId="0" fontId="23" fillId="2" borderId="54" xfId="10" applyFont="1" applyFill="1" applyBorder="1" applyAlignment="1" applyProtection="1">
      <alignment horizontal="center" vertical="center"/>
      <protection locked="0"/>
    </xf>
    <xf numFmtId="0" fontId="10" fillId="10" borderId="0" xfId="0" applyFont="1" applyFill="1" applyAlignment="1" applyProtection="1">
      <alignment vertical="center"/>
      <protection hidden="1"/>
    </xf>
    <xf numFmtId="0" fontId="10" fillId="10" borderId="0" xfId="0" applyFont="1" applyFill="1" applyAlignment="1" applyProtection="1">
      <alignment horizontal="center" vertical="center"/>
      <protection hidden="1"/>
    </xf>
    <xf numFmtId="0" fontId="10" fillId="10" borderId="0" xfId="0" applyFont="1" applyFill="1" applyAlignment="1">
      <alignment vertical="center"/>
    </xf>
    <xf numFmtId="0" fontId="0" fillId="0" borderId="0" xfId="0" applyAlignment="1">
      <alignment vertical="center"/>
    </xf>
    <xf numFmtId="49" fontId="8"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20" fillId="0" borderId="0" xfId="0" applyFont="1" applyFill="1" applyBorder="1" applyAlignment="1">
      <alignment vertical="center"/>
    </xf>
    <xf numFmtId="0" fontId="10" fillId="2" borderId="2" xfId="0" applyFont="1" applyFill="1" applyBorder="1" applyAlignment="1" applyProtection="1">
      <alignment horizontal="left" vertical="center" wrapText="1"/>
      <protection locked="0"/>
    </xf>
    <xf numFmtId="14" fontId="10" fillId="11" borderId="7" xfId="0" applyNumberFormat="1" applyFont="1" applyFill="1" applyBorder="1" applyAlignment="1" applyProtection="1">
      <alignment horizontal="center" vertical="center"/>
      <protection hidden="1"/>
    </xf>
    <xf numFmtId="0" fontId="37" fillId="11" borderId="7" xfId="0" applyFont="1" applyFill="1" applyBorder="1" applyAlignment="1" applyProtection="1">
      <alignment horizontal="center" vertical="center"/>
      <protection hidden="1"/>
    </xf>
    <xf numFmtId="0" fontId="10" fillId="11" borderId="0" xfId="0" applyFont="1" applyFill="1" applyAlignment="1" applyProtection="1">
      <alignment horizontal="center" vertical="center"/>
      <protection hidden="1"/>
    </xf>
    <xf numFmtId="0" fontId="0" fillId="0" borderId="7" xfId="9" applyFont="1" applyBorder="1" applyAlignment="1">
      <alignment vertical="center"/>
    </xf>
    <xf numFmtId="0" fontId="3" fillId="0" borderId="7" xfId="9" applyFont="1" applyBorder="1" applyAlignment="1">
      <alignment vertical="center"/>
    </xf>
    <xf numFmtId="0" fontId="31" fillId="0" borderId="52" xfId="10" applyFont="1" applyBorder="1" applyAlignment="1">
      <alignment horizontal="center" vertical="center"/>
    </xf>
    <xf numFmtId="0" fontId="31" fillId="0" borderId="53" xfId="10" applyFont="1" applyBorder="1" applyAlignment="1">
      <alignment horizontal="center" vertical="center"/>
    </xf>
    <xf numFmtId="0" fontId="31" fillId="0" borderId="54" xfId="10" applyFont="1" applyBorder="1" applyAlignment="1">
      <alignment horizontal="center" vertical="center"/>
    </xf>
    <xf numFmtId="0" fontId="31" fillId="0" borderId="7" xfId="10" applyFont="1" applyBorder="1" applyAlignment="1">
      <alignment horizontal="center" vertical="center"/>
    </xf>
    <xf numFmtId="9" fontId="10" fillId="0" borderId="0" xfId="11" applyNumberFormat="1" applyFont="1" applyProtection="1">
      <alignment vertical="center"/>
    </xf>
    <xf numFmtId="0" fontId="50" fillId="0" borderId="9" xfId="0" applyFont="1" applyFill="1" applyBorder="1" applyAlignment="1">
      <alignment horizontal="right" vertical="center"/>
    </xf>
    <xf numFmtId="0" fontId="51" fillId="0" borderId="7" xfId="0" applyFont="1" applyFill="1" applyBorder="1" applyAlignment="1" applyProtection="1">
      <alignment horizontal="center" vertical="center" wrapText="1"/>
      <protection locked="0"/>
    </xf>
    <xf numFmtId="0" fontId="7" fillId="10" borderId="0" xfId="0" applyFont="1" applyFill="1" applyAlignment="1">
      <alignment vertical="center"/>
    </xf>
    <xf numFmtId="0" fontId="3" fillId="10" borderId="0" xfId="0" applyFont="1" applyFill="1" applyAlignment="1">
      <alignment vertical="center"/>
    </xf>
    <xf numFmtId="0" fontId="10" fillId="0" borderId="3" xfId="0" applyFont="1" applyFill="1" applyBorder="1" applyAlignment="1" applyProtection="1">
      <alignment vertical="center"/>
      <protection hidden="1"/>
    </xf>
    <xf numFmtId="187" fontId="22" fillId="3" borderId="51" xfId="1" applyNumberFormat="1" applyFont="1" applyFill="1" applyBorder="1" applyAlignment="1" applyProtection="1">
      <alignment horizontal="center" vertical="center" wrapText="1"/>
      <protection hidden="1"/>
    </xf>
    <xf numFmtId="0" fontId="0" fillId="0" borderId="7" xfId="0" applyBorder="1"/>
    <xf numFmtId="0" fontId="3" fillId="0" borderId="7" xfId="0" applyFont="1" applyBorder="1"/>
    <xf numFmtId="0" fontId="0" fillId="12" borderId="7" xfId="0" applyFill="1" applyBorder="1"/>
    <xf numFmtId="0" fontId="16" fillId="0" borderId="35"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38" fontId="3" fillId="2" borderId="21" xfId="2" applyFont="1" applyFill="1" applyBorder="1" applyAlignment="1" applyProtection="1">
      <alignment vertical="center"/>
      <protection locked="0"/>
    </xf>
    <xf numFmtId="188" fontId="40" fillId="0" borderId="51" xfId="1" applyNumberFormat="1" applyFont="1" applyFill="1" applyBorder="1" applyAlignment="1">
      <alignment horizontal="left" vertical="center" wrapText="1"/>
    </xf>
    <xf numFmtId="182" fontId="7" fillId="3" borderId="53" xfId="0" applyNumberFormat="1" applyFont="1" applyFill="1" applyBorder="1" applyAlignment="1">
      <alignment vertical="center" shrinkToFit="1"/>
    </xf>
    <xf numFmtId="0" fontId="0" fillId="0" borderId="0" xfId="0" applyBorder="1" applyAlignment="1">
      <alignment vertical="center"/>
    </xf>
    <xf numFmtId="0" fontId="0" fillId="0" borderId="0" xfId="0" applyAlignment="1">
      <alignment vertical="center"/>
    </xf>
    <xf numFmtId="0" fontId="22"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34" fillId="0" borderId="0" xfId="0" applyFont="1" applyAlignment="1" applyProtection="1">
      <alignment vertical="center"/>
      <protection hidden="1"/>
    </xf>
    <xf numFmtId="0" fontId="22" fillId="0" borderId="7" xfId="0" applyFont="1" applyBorder="1" applyAlignment="1" applyProtection="1">
      <alignment horizontal="center" vertical="center"/>
      <protection hidden="1"/>
    </xf>
    <xf numFmtId="38" fontId="10" fillId="0" borderId="0" xfId="0" applyNumberFormat="1" applyFont="1" applyAlignment="1" applyProtection="1">
      <alignment vertical="center"/>
      <protection hidden="1"/>
    </xf>
    <xf numFmtId="0" fontId="22" fillId="0" borderId="7" xfId="11" applyFont="1" applyBorder="1" applyAlignment="1" applyProtection="1">
      <alignment horizontal="center" vertical="center"/>
      <protection hidden="1"/>
    </xf>
    <xf numFmtId="0" fontId="15" fillId="0" borderId="7" xfId="0" applyFont="1" applyBorder="1" applyAlignment="1" applyProtection="1">
      <alignment vertical="center" wrapText="1"/>
      <protection hidden="1"/>
    </xf>
    <xf numFmtId="0" fontId="10" fillId="2" borderId="24" xfId="11" applyFont="1" applyFill="1" applyBorder="1" applyAlignment="1" applyProtection="1">
      <alignment vertical="center" wrapText="1"/>
      <protection locked="0"/>
    </xf>
    <xf numFmtId="0" fontId="10" fillId="0" borderId="7" xfId="0" applyFont="1" applyBorder="1" applyAlignment="1" applyProtection="1">
      <alignment vertical="center" wrapText="1"/>
      <protection hidden="1"/>
    </xf>
    <xf numFmtId="0" fontId="10" fillId="0" borderId="46" xfId="0" applyFont="1" applyBorder="1" applyAlignment="1" applyProtection="1">
      <alignment vertical="center" wrapText="1"/>
      <protection hidden="1"/>
    </xf>
    <xf numFmtId="0" fontId="22" fillId="0" borderId="7" xfId="11" applyFont="1" applyFill="1" applyBorder="1" applyAlignment="1" applyProtection="1">
      <alignment horizontal="center" vertical="center"/>
      <protection hidden="1"/>
    </xf>
    <xf numFmtId="0" fontId="15" fillId="0" borderId="7" xfId="0" applyFont="1" applyFill="1" applyBorder="1" applyAlignment="1" applyProtection="1">
      <alignment vertical="center" wrapText="1"/>
      <protection hidden="1"/>
    </xf>
    <xf numFmtId="0" fontId="10" fillId="2" borderId="1" xfId="11"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hidden="1"/>
    </xf>
    <xf numFmtId="0" fontId="52" fillId="0" borderId="0" xfId="0" applyFont="1" applyAlignment="1" applyProtection="1">
      <alignment horizontal="left" vertical="center"/>
      <protection hidden="1"/>
    </xf>
    <xf numFmtId="38" fontId="10" fillId="0" borderId="0" xfId="2" applyFont="1" applyBorder="1" applyAlignment="1" applyProtection="1">
      <alignment vertical="center"/>
      <protection hidden="1"/>
    </xf>
    <xf numFmtId="38" fontId="10" fillId="0" borderId="0" xfId="2" applyFont="1" applyBorder="1" applyAlignment="1" applyProtection="1">
      <alignment horizontal="right" vertical="center" wrapText="1"/>
    </xf>
    <xf numFmtId="0" fontId="22" fillId="0" borderId="0" xfId="11" applyFont="1" applyBorder="1" applyAlignment="1" applyProtection="1">
      <alignment horizontal="center" vertical="center"/>
      <protection hidden="1"/>
    </xf>
    <xf numFmtId="0" fontId="22" fillId="0" borderId="0" xfId="11" applyFont="1" applyBorder="1" applyAlignment="1" applyProtection="1">
      <alignment vertical="center"/>
      <protection hidden="1"/>
    </xf>
    <xf numFmtId="0" fontId="22" fillId="0" borderId="0" xfId="11" applyFont="1" applyBorder="1" applyAlignment="1" applyProtection="1">
      <alignment vertical="center" wrapText="1"/>
      <protection hidden="1"/>
    </xf>
    <xf numFmtId="0" fontId="22" fillId="0" borderId="0" xfId="11" applyFont="1" applyFill="1" applyBorder="1" applyAlignment="1" applyProtection="1">
      <alignment vertical="center" wrapText="1"/>
    </xf>
    <xf numFmtId="0" fontId="34" fillId="0" borderId="0" xfId="11" applyFont="1" applyBorder="1" applyAlignment="1" applyProtection="1">
      <alignment horizontal="left" vertical="center"/>
    </xf>
    <xf numFmtId="49" fontId="10" fillId="0" borderId="0" xfId="0" applyNumberFormat="1" applyFont="1" applyAlignment="1" applyProtection="1">
      <alignment horizontal="left" vertical="center"/>
      <protection hidden="1"/>
    </xf>
    <xf numFmtId="49" fontId="10" fillId="0" borderId="0" xfId="0" applyNumberFormat="1" applyFont="1" applyAlignment="1" applyProtection="1">
      <alignment horizontal="center" vertical="center"/>
      <protection hidden="1"/>
    </xf>
    <xf numFmtId="0" fontId="34" fillId="0" borderId="0" xfId="0" applyFont="1" applyFill="1" applyAlignment="1" applyProtection="1">
      <alignment vertical="center"/>
      <protection hidden="1"/>
    </xf>
    <xf numFmtId="0" fontId="15" fillId="0" borderId="0" xfId="0" applyFont="1" applyFill="1" applyAlignment="1" applyProtection="1">
      <alignment vertical="center"/>
      <protection hidden="1"/>
    </xf>
    <xf numFmtId="0" fontId="10" fillId="13" borderId="0" xfId="0" applyFont="1" applyFill="1" applyAlignment="1" applyProtection="1">
      <alignment vertical="center"/>
      <protection hidden="1"/>
    </xf>
    <xf numFmtId="0" fontId="0" fillId="0" borderId="7" xfId="0" applyBorder="1" applyAlignment="1">
      <alignmen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0" xfId="14" applyFont="1" applyAlignment="1" applyProtection="1">
      <alignment vertical="center"/>
    </xf>
    <xf numFmtId="0" fontId="3" fillId="0" borderId="0" xfId="0" applyFont="1" applyAlignment="1">
      <alignment vertical="center"/>
    </xf>
    <xf numFmtId="0" fontId="0" fillId="0" borderId="46" xfId="0" applyBorder="1" applyAlignment="1">
      <alignment vertical="center"/>
    </xf>
    <xf numFmtId="0" fontId="17" fillId="0" borderId="46" xfId="0" applyFont="1" applyBorder="1" applyAlignment="1">
      <alignment horizontal="center" vertical="center"/>
    </xf>
    <xf numFmtId="38" fontId="0" fillId="0" borderId="0" xfId="0" applyNumberFormat="1" applyFill="1" applyBorder="1" applyAlignment="1">
      <alignment vertical="center" wrapText="1"/>
    </xf>
    <xf numFmtId="38" fontId="0" fillId="0" borderId="0" xfId="0" applyNumberFormat="1" applyBorder="1" applyAlignment="1">
      <alignment vertical="center"/>
    </xf>
    <xf numFmtId="0" fontId="0" fillId="0" borderId="0" xfId="0" applyFill="1" applyBorder="1" applyAlignment="1">
      <alignment vertical="center" wrapText="1"/>
    </xf>
    <xf numFmtId="0" fontId="0" fillId="2" borderId="1" xfId="0" applyFill="1" applyBorder="1" applyAlignment="1" applyProtection="1">
      <alignment horizontal="left" vertical="center"/>
      <protection locked="0"/>
    </xf>
    <xf numFmtId="0" fontId="0" fillId="10" borderId="0" xfId="0" applyFill="1" applyAlignment="1">
      <alignment vertical="center"/>
    </xf>
    <xf numFmtId="0" fontId="3" fillId="10" borderId="7" xfId="0" applyFont="1" applyFill="1" applyBorder="1" applyAlignment="1">
      <alignment vertical="center"/>
    </xf>
    <xf numFmtId="0" fontId="0" fillId="10" borderId="59" xfId="0" applyFill="1" applyBorder="1" applyAlignment="1">
      <alignment vertical="center"/>
    </xf>
    <xf numFmtId="0" fontId="3" fillId="10" borderId="59" xfId="0" applyFont="1" applyFill="1" applyBorder="1" applyAlignment="1">
      <alignment vertical="center"/>
    </xf>
    <xf numFmtId="0" fontId="16" fillId="0" borderId="59" xfId="0" applyFont="1" applyFill="1" applyBorder="1" applyAlignment="1" applyProtection="1">
      <alignment horizontal="center" vertical="center"/>
      <protection hidden="1"/>
    </xf>
    <xf numFmtId="0" fontId="0" fillId="0" borderId="59" xfId="0" applyBorder="1"/>
    <xf numFmtId="49" fontId="0" fillId="2" borderId="1"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0" fontId="0" fillId="0" borderId="0" xfId="0" applyAlignment="1">
      <alignment vertical="center"/>
    </xf>
    <xf numFmtId="0" fontId="3" fillId="0" borderId="2" xfId="0" applyFont="1" applyFill="1" applyBorder="1" applyAlignment="1">
      <alignment vertical="center" wrapText="1"/>
    </xf>
    <xf numFmtId="0" fontId="3" fillId="0" borderId="5" xfId="0" applyFont="1" applyFill="1" applyBorder="1" applyAlignment="1">
      <alignment horizontal="center" vertical="center"/>
    </xf>
    <xf numFmtId="0" fontId="8" fillId="0" borderId="0" xfId="0" applyFont="1" applyFill="1" applyAlignment="1">
      <alignment horizontal="center" vertical="center"/>
    </xf>
    <xf numFmtId="176" fontId="10" fillId="0" borderId="0" xfId="0" applyNumberFormat="1" applyFont="1" applyFill="1" applyBorder="1" applyAlignment="1">
      <alignment vertical="center"/>
    </xf>
    <xf numFmtId="176" fontId="3" fillId="0" borderId="0" xfId="0" applyNumberFormat="1" applyFont="1" applyFill="1" applyBorder="1"/>
    <xf numFmtId="0" fontId="3" fillId="0" borderId="0" xfId="0" applyFont="1" applyFill="1" applyBorder="1" applyAlignment="1"/>
    <xf numFmtId="0" fontId="10" fillId="0" borderId="39" xfId="0" applyFont="1" applyBorder="1" applyAlignment="1">
      <alignment vertical="center" shrinkToFit="1"/>
    </xf>
    <xf numFmtId="0" fontId="53" fillId="0" borderId="0" xfId="16" applyProtection="1">
      <alignment vertical="center"/>
    </xf>
    <xf numFmtId="0" fontId="17" fillId="0" borderId="0" xfId="17" applyFont="1" applyBorder="1" applyAlignment="1" applyProtection="1">
      <alignment horizontal="left" vertical="center" indent="1"/>
      <protection hidden="1"/>
    </xf>
    <xf numFmtId="0" fontId="3" fillId="0" borderId="0" xfId="18" applyProtection="1"/>
    <xf numFmtId="0" fontId="53" fillId="0" borderId="0" xfId="16">
      <alignment vertical="center"/>
    </xf>
    <xf numFmtId="0" fontId="24" fillId="0" borderId="0" xfId="18" applyFont="1" applyAlignment="1" applyProtection="1">
      <alignment vertical="center"/>
    </xf>
    <xf numFmtId="0" fontId="3" fillId="0" borderId="0" xfId="18" applyFont="1" applyAlignment="1" applyProtection="1">
      <alignment vertical="center"/>
    </xf>
    <xf numFmtId="0" fontId="3" fillId="0" borderId="0" xfId="18" applyFont="1" applyAlignment="1" applyProtection="1">
      <alignment horizontal="left" vertical="center" indent="1"/>
    </xf>
    <xf numFmtId="0" fontId="10" fillId="0" borderId="0" xfId="18" applyFont="1" applyBorder="1" applyAlignment="1" applyProtection="1">
      <alignment vertical="center"/>
    </xf>
    <xf numFmtId="0" fontId="10" fillId="0" borderId="0" xfId="18" applyFont="1" applyBorder="1" applyAlignment="1" applyProtection="1">
      <alignment vertical="center" wrapText="1"/>
    </xf>
    <xf numFmtId="0" fontId="10" fillId="0" borderId="0" xfId="18" applyFont="1" applyAlignment="1" applyProtection="1">
      <alignment horizontal="left" vertical="center"/>
    </xf>
    <xf numFmtId="0" fontId="10" fillId="0" borderId="0" xfId="18" applyFont="1" applyAlignment="1" applyProtection="1">
      <alignment vertical="center"/>
    </xf>
    <xf numFmtId="0" fontId="23" fillId="0" borderId="0" xfId="10" applyFont="1" applyAlignment="1" applyProtection="1">
      <alignment vertical="center"/>
    </xf>
    <xf numFmtId="0" fontId="10" fillId="0" borderId="8" xfId="18" applyFont="1" applyBorder="1" applyAlignment="1" applyProtection="1">
      <alignment vertical="center"/>
    </xf>
    <xf numFmtId="0" fontId="53" fillId="0" borderId="2" xfId="16" applyBorder="1" applyProtection="1">
      <alignment vertical="center"/>
    </xf>
    <xf numFmtId="0" fontId="53" fillId="0" borderId="1" xfId="16" applyBorder="1" applyProtection="1">
      <alignment vertical="center"/>
    </xf>
    <xf numFmtId="0" fontId="53" fillId="0" borderId="4" xfId="16" applyBorder="1" applyProtection="1">
      <alignment vertical="center"/>
    </xf>
    <xf numFmtId="0" fontId="53" fillId="0" borderId="5" xfId="16" applyBorder="1" applyProtection="1">
      <alignment vertical="center"/>
    </xf>
    <xf numFmtId="0" fontId="3" fillId="0" borderId="18" xfId="18" applyBorder="1" applyAlignment="1" applyProtection="1"/>
    <xf numFmtId="0" fontId="53" fillId="0" borderId="0" xfId="16" applyBorder="1" applyProtection="1">
      <alignment vertical="center"/>
    </xf>
    <xf numFmtId="0" fontId="53" fillId="0" borderId="20" xfId="16" applyBorder="1" applyProtection="1">
      <alignment vertical="center"/>
    </xf>
    <xf numFmtId="183" fontId="0" fillId="2" borderId="61" xfId="2" applyNumberFormat="1" applyFont="1" applyFill="1" applyBorder="1" applyAlignment="1" applyProtection="1">
      <alignment vertical="center"/>
      <protection locked="0"/>
    </xf>
    <xf numFmtId="183" fontId="0" fillId="2" borderId="49" xfId="2" applyNumberFormat="1" applyFont="1" applyFill="1" applyBorder="1" applyAlignment="1" applyProtection="1">
      <alignment vertical="center"/>
      <protection locked="0"/>
    </xf>
    <xf numFmtId="38" fontId="0" fillId="2" borderId="61" xfId="2" applyFont="1" applyFill="1" applyBorder="1" applyAlignment="1" applyProtection="1">
      <alignment vertical="center"/>
      <protection locked="0"/>
    </xf>
    <xf numFmtId="0" fontId="3" fillId="2" borderId="49" xfId="2" applyNumberFormat="1" applyFont="1" applyFill="1" applyBorder="1" applyAlignment="1" applyProtection="1">
      <alignment vertical="center"/>
      <protection locked="0"/>
    </xf>
    <xf numFmtId="0" fontId="54" fillId="0" borderId="0" xfId="0" applyFont="1" applyAlignment="1">
      <alignment horizontal="left" vertical="center" indent="1"/>
    </xf>
    <xf numFmtId="178" fontId="3" fillId="2" borderId="27" xfId="9" applyNumberFormat="1" applyFont="1" applyFill="1" applyBorder="1" applyAlignment="1" applyProtection="1">
      <alignment vertical="center"/>
      <protection locked="0"/>
    </xf>
    <xf numFmtId="178" fontId="3" fillId="2" borderId="25" xfId="9" applyNumberFormat="1" applyFont="1" applyFill="1" applyBorder="1" applyAlignment="1" applyProtection="1">
      <alignment vertical="center"/>
      <protection locked="0"/>
    </xf>
    <xf numFmtId="0" fontId="55" fillId="0" borderId="34" xfId="0" applyFont="1" applyFill="1" applyBorder="1" applyAlignment="1" applyProtection="1">
      <alignment horizontal="center" vertical="center"/>
      <protection hidden="1"/>
    </xf>
    <xf numFmtId="0" fontId="16" fillId="0" borderId="17"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protection hidden="1"/>
    </xf>
    <xf numFmtId="0" fontId="56" fillId="0" borderId="0" xfId="0" applyFont="1" applyAlignment="1">
      <alignment vertical="center"/>
    </xf>
    <xf numFmtId="0" fontId="10" fillId="0" borderId="52" xfId="21" applyFont="1" applyBorder="1" applyAlignment="1" applyProtection="1">
      <alignment horizontal="center" vertical="center"/>
      <protection hidden="1"/>
    </xf>
    <xf numFmtId="0" fontId="10" fillId="0" borderId="59" xfId="21" applyFont="1" applyBorder="1" applyAlignment="1" applyProtection="1">
      <alignment horizontal="center" vertical="center"/>
      <protection hidden="1"/>
    </xf>
    <xf numFmtId="49" fontId="10" fillId="0" borderId="7" xfId="21" applyNumberFormat="1" applyFont="1" applyFill="1" applyBorder="1" applyAlignment="1" applyProtection="1">
      <alignment horizontal="center" vertical="center" wrapText="1"/>
      <protection hidden="1"/>
    </xf>
    <xf numFmtId="0" fontId="10" fillId="0" borderId="1" xfId="21" applyFont="1" applyBorder="1" applyAlignment="1" applyProtection="1">
      <alignment horizontal="left" vertical="center"/>
      <protection hidden="1"/>
    </xf>
    <xf numFmtId="0" fontId="10" fillId="0" borderId="7" xfId="21" applyFont="1" applyBorder="1" applyAlignment="1" applyProtection="1">
      <alignment horizontal="center" vertical="center"/>
      <protection hidden="1"/>
    </xf>
    <xf numFmtId="49" fontId="10" fillId="0" borderId="52" xfId="21" applyNumberFormat="1" applyFont="1" applyFill="1" applyBorder="1" applyAlignment="1" applyProtection="1">
      <alignment horizontal="center" vertical="center" wrapText="1"/>
      <protection hidden="1"/>
    </xf>
    <xf numFmtId="0" fontId="10" fillId="0" borderId="15" xfId="21" applyFont="1" applyBorder="1" applyAlignment="1" applyProtection="1">
      <alignment horizontal="left" vertical="center"/>
      <protection hidden="1"/>
    </xf>
    <xf numFmtId="49" fontId="10" fillId="0" borderId="53" xfId="21" applyNumberFormat="1" applyFont="1" applyFill="1" applyBorder="1" applyAlignment="1" applyProtection="1">
      <alignment horizontal="center" vertical="center" wrapText="1"/>
      <protection hidden="1"/>
    </xf>
    <xf numFmtId="0" fontId="10" fillId="0" borderId="10" xfId="21" applyFont="1" applyBorder="1" applyAlignment="1" applyProtection="1">
      <alignment horizontal="left" vertical="center"/>
      <protection hidden="1"/>
    </xf>
    <xf numFmtId="0" fontId="10" fillId="0" borderId="53" xfId="21" applyFont="1" applyBorder="1" applyAlignment="1" applyProtection="1">
      <alignment horizontal="center" vertical="center"/>
      <protection hidden="1"/>
    </xf>
    <xf numFmtId="0" fontId="10" fillId="0" borderId="2" xfId="21" applyFont="1" applyBorder="1" applyAlignment="1" applyProtection="1">
      <alignment horizontal="left" vertical="center"/>
      <protection hidden="1"/>
    </xf>
    <xf numFmtId="0" fontId="10" fillId="0" borderId="39" xfId="21" applyFont="1" applyBorder="1" applyAlignment="1" applyProtection="1">
      <alignment horizontal="left" vertical="center"/>
      <protection hidden="1"/>
    </xf>
    <xf numFmtId="49" fontId="10" fillId="0" borderId="54" xfId="21" applyNumberFormat="1" applyFont="1" applyFill="1" applyBorder="1" applyAlignment="1" applyProtection="1">
      <alignment horizontal="center" vertical="center" wrapText="1"/>
      <protection hidden="1"/>
    </xf>
    <xf numFmtId="0" fontId="10" fillId="0" borderId="30" xfId="21" applyFont="1" applyBorder="1" applyAlignment="1" applyProtection="1">
      <alignment horizontal="left" vertical="center"/>
      <protection hidden="1"/>
    </xf>
    <xf numFmtId="0" fontId="10" fillId="0" borderId="54" xfId="21" applyFont="1" applyBorder="1" applyAlignment="1" applyProtection="1">
      <alignment horizontal="center" vertical="center"/>
      <protection hidden="1"/>
    </xf>
    <xf numFmtId="0" fontId="10" fillId="0" borderId="7" xfId="21" applyFont="1" applyBorder="1" applyAlignment="1">
      <alignment horizontal="center" vertical="center"/>
    </xf>
    <xf numFmtId="0" fontId="10" fillId="0" borderId="7" xfId="21" applyFont="1" applyFill="1" applyBorder="1" applyAlignment="1" applyProtection="1">
      <alignment horizontal="left" vertical="center"/>
      <protection hidden="1"/>
    </xf>
    <xf numFmtId="0" fontId="10" fillId="0" borderId="7" xfId="21" applyFont="1" applyBorder="1">
      <alignment vertical="center"/>
    </xf>
    <xf numFmtId="0" fontId="10" fillId="0" borderId="7" xfId="21" applyFont="1" applyBorder="1" applyAlignment="1" applyProtection="1">
      <alignment horizontal="left" vertical="center"/>
      <protection hidden="1"/>
    </xf>
    <xf numFmtId="182" fontId="10" fillId="3" borderId="1" xfId="0" applyNumberFormat="1" applyFont="1" applyFill="1" applyBorder="1" applyAlignment="1" applyProtection="1">
      <alignment vertical="center"/>
      <protection hidden="1"/>
    </xf>
    <xf numFmtId="49" fontId="8" fillId="0" borderId="0" xfId="8" applyNumberFormat="1" applyFont="1" applyFill="1" applyBorder="1" applyAlignment="1" applyProtection="1">
      <alignment vertical="center"/>
      <protection hidden="1"/>
    </xf>
    <xf numFmtId="49" fontId="8" fillId="0" borderId="0" xfId="8" applyNumberFormat="1" applyFont="1" applyFill="1" applyBorder="1" applyAlignment="1">
      <alignment vertical="center"/>
    </xf>
    <xf numFmtId="0" fontId="10" fillId="0" borderId="0" xfId="11" quotePrefix="1" applyFont="1" applyAlignment="1" applyProtection="1">
      <alignment horizontal="center" vertical="center"/>
    </xf>
    <xf numFmtId="0" fontId="10" fillId="0" borderId="29" xfId="21" applyFont="1" applyBorder="1" applyAlignment="1" applyProtection="1">
      <alignment horizontal="left" vertical="center" shrinkToFit="1"/>
      <protection hidden="1"/>
    </xf>
    <xf numFmtId="0" fontId="21" fillId="0" borderId="0" xfId="14" applyFont="1" applyFill="1" applyBorder="1" applyAlignment="1" applyProtection="1">
      <alignment vertical="center"/>
    </xf>
    <xf numFmtId="38" fontId="3" fillId="0" borderId="34" xfId="2" applyFont="1" applyFill="1" applyBorder="1" applyAlignment="1" applyProtection="1">
      <alignment vertical="center"/>
      <protection hidden="1"/>
    </xf>
    <xf numFmtId="0" fontId="0" fillId="0" borderId="2"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193" fontId="66" fillId="0" borderId="104" xfId="15" applyNumberFormat="1" applyFont="1" applyFill="1" applyBorder="1" applyAlignment="1">
      <alignment horizontal="center"/>
    </xf>
    <xf numFmtId="190" fontId="66" fillId="0" borderId="103" xfId="15" applyNumberFormat="1" applyFont="1" applyFill="1" applyBorder="1" applyAlignment="1">
      <alignment horizontal="center"/>
    </xf>
    <xf numFmtId="38" fontId="66" fillId="0" borderId="102" xfId="15" applyFont="1" applyFill="1" applyBorder="1" applyAlignment="1">
      <alignment horizontal="center"/>
    </xf>
    <xf numFmtId="190" fontId="66" fillId="0" borderId="103" xfId="15" applyNumberFormat="1" applyFont="1" applyFill="1" applyBorder="1" applyAlignment="1">
      <alignment horizontal="centerContinuous"/>
    </xf>
    <xf numFmtId="38" fontId="66" fillId="0" borderId="103" xfId="15" applyFont="1" applyFill="1" applyBorder="1" applyAlignment="1">
      <alignment horizontal="center"/>
    </xf>
    <xf numFmtId="0" fontId="58" fillId="0" borderId="79" xfId="26" applyFont="1" applyFill="1" applyBorder="1" applyAlignment="1">
      <alignment horizontal="left" wrapText="1"/>
    </xf>
    <xf numFmtId="0" fontId="61" fillId="0" borderId="98" xfId="26" applyFont="1" applyFill="1" applyBorder="1" applyAlignment="1">
      <alignment horizontal="left" wrapText="1"/>
    </xf>
    <xf numFmtId="38" fontId="61" fillId="0" borderId="83" xfId="15" applyFont="1" applyBorder="1"/>
    <xf numFmtId="38" fontId="61" fillId="0" borderId="84" xfId="15" applyFont="1" applyBorder="1"/>
    <xf numFmtId="189" fontId="61" fillId="0" borderId="84" xfId="15" applyNumberFormat="1" applyFont="1" applyBorder="1"/>
    <xf numFmtId="191" fontId="61" fillId="0" borderId="85" xfId="15" applyNumberFormat="1" applyFont="1" applyBorder="1"/>
    <xf numFmtId="0" fontId="60" fillId="0" borderId="98" xfId="26" applyFont="1" applyFill="1" applyBorder="1" applyAlignment="1">
      <alignment horizontal="left" wrapText="1"/>
    </xf>
    <xf numFmtId="38" fontId="60" fillId="0" borderId="83" xfId="15" applyFont="1" applyBorder="1"/>
    <xf numFmtId="38" fontId="60" fillId="0" borderId="84" xfId="15" applyFont="1" applyBorder="1"/>
    <xf numFmtId="189" fontId="60" fillId="0" borderId="84" xfId="15" applyNumberFormat="1" applyFont="1" applyBorder="1"/>
    <xf numFmtId="191" fontId="60" fillId="0" borderId="85" xfId="15" applyNumberFormat="1" applyFont="1" applyBorder="1"/>
    <xf numFmtId="0" fontId="62" fillId="0" borderId="98" xfId="26" applyFont="1" applyFill="1" applyBorder="1" applyAlignment="1">
      <alignment horizontal="left" wrapText="1"/>
    </xf>
    <xf numFmtId="38" fontId="62" fillId="0" borderId="83" xfId="15" applyFont="1" applyBorder="1" applyProtection="1">
      <protection locked="0"/>
    </xf>
    <xf numFmtId="38" fontId="62" fillId="0" borderId="84" xfId="15" applyFont="1" applyBorder="1" applyProtection="1">
      <protection locked="0"/>
    </xf>
    <xf numFmtId="189" fontId="62" fillId="0" borderId="84" xfId="15" applyNumberFormat="1" applyFont="1" applyBorder="1" applyProtection="1">
      <protection locked="0"/>
    </xf>
    <xf numFmtId="191" fontId="62" fillId="0" borderId="85" xfId="15" applyNumberFormat="1" applyFont="1" applyBorder="1" applyProtection="1">
      <protection locked="0"/>
    </xf>
    <xf numFmtId="0" fontId="63" fillId="0" borderId="98" xfId="26" applyFont="1" applyFill="1" applyBorder="1" applyAlignment="1">
      <alignment horizontal="left" wrapText="1"/>
    </xf>
    <xf numFmtId="38" fontId="63" fillId="0" borderId="83" xfId="15" applyFont="1" applyBorder="1" applyProtection="1">
      <protection locked="0"/>
    </xf>
    <xf numFmtId="38" fontId="63" fillId="0" borderId="84" xfId="15" applyFont="1" applyBorder="1" applyProtection="1">
      <protection locked="0"/>
    </xf>
    <xf numFmtId="189" fontId="63" fillId="0" borderId="84" xfId="15" applyNumberFormat="1" applyFont="1" applyFill="1" applyBorder="1" applyProtection="1">
      <protection locked="0"/>
    </xf>
    <xf numFmtId="191" fontId="63" fillId="0" borderId="85" xfId="15" applyNumberFormat="1" applyFont="1" applyFill="1" applyBorder="1" applyProtection="1">
      <protection locked="0"/>
    </xf>
    <xf numFmtId="0" fontId="59" fillId="0" borderId="98" xfId="26" applyFont="1" applyFill="1" applyBorder="1" applyAlignment="1">
      <alignment horizontal="left" wrapText="1"/>
    </xf>
    <xf numFmtId="38" fontId="59" fillId="0" borderId="83" xfId="15" applyFont="1" applyBorder="1"/>
    <xf numFmtId="38" fontId="59" fillId="0" borderId="84" xfId="15" applyFont="1" applyBorder="1"/>
    <xf numFmtId="189" fontId="59" fillId="0" borderId="84" xfId="15" applyNumberFormat="1" applyFont="1" applyBorder="1" applyProtection="1">
      <protection locked="0"/>
    </xf>
    <xf numFmtId="191" fontId="59" fillId="0" borderId="85" xfId="15" applyNumberFormat="1" applyFont="1" applyBorder="1" applyProtection="1">
      <protection locked="0"/>
    </xf>
    <xf numFmtId="0" fontId="63" fillId="0" borderId="79" xfId="26" applyFont="1" applyFill="1" applyBorder="1" applyAlignment="1">
      <alignment horizontal="left" wrapText="1"/>
    </xf>
    <xf numFmtId="38" fontId="63" fillId="0" borderId="86" xfId="15" applyFont="1" applyBorder="1" applyProtection="1">
      <protection locked="0"/>
    </xf>
    <xf numFmtId="38" fontId="63" fillId="0" borderId="99" xfId="15" applyFont="1" applyBorder="1" applyProtection="1">
      <protection locked="0"/>
    </xf>
    <xf numFmtId="189" fontId="63" fillId="0" borderId="99" xfId="15" applyNumberFormat="1" applyFont="1" applyFill="1" applyBorder="1" applyProtection="1">
      <protection locked="0"/>
    </xf>
    <xf numFmtId="191" fontId="63" fillId="0" borderId="87" xfId="15" applyNumberFormat="1" applyFont="1" applyFill="1" applyBorder="1" applyProtection="1">
      <protection locked="0"/>
    </xf>
    <xf numFmtId="0" fontId="58" fillId="0" borderId="79" xfId="26" applyFont="1" applyFill="1" applyBorder="1" applyAlignment="1">
      <alignment horizontal="center" wrapText="1"/>
    </xf>
    <xf numFmtId="0" fontId="61" fillId="0" borderId="98" xfId="26" applyFont="1" applyFill="1" applyBorder="1" applyAlignment="1">
      <alignment horizontal="center" wrapText="1"/>
    </xf>
    <xf numFmtId="0" fontId="60" fillId="0" borderId="98" xfId="26" applyFont="1" applyFill="1" applyBorder="1" applyAlignment="1">
      <alignment horizontal="center" wrapText="1"/>
    </xf>
    <xf numFmtId="0" fontId="59" fillId="0" borderId="98" xfId="26" applyFont="1" applyFill="1" applyBorder="1" applyAlignment="1">
      <alignment horizontal="center" wrapText="1"/>
    </xf>
    <xf numFmtId="0" fontId="63" fillId="0" borderId="98" xfId="26" applyFont="1" applyFill="1" applyBorder="1" applyAlignment="1">
      <alignment horizontal="center" wrapText="1"/>
    </xf>
    <xf numFmtId="0" fontId="63" fillId="0" borderId="79" xfId="26" applyFont="1" applyFill="1" applyBorder="1" applyAlignment="1">
      <alignment horizontal="center" wrapText="1"/>
    </xf>
    <xf numFmtId="0" fontId="62" fillId="0" borderId="98" xfId="26" applyFont="1" applyFill="1" applyBorder="1" applyAlignment="1">
      <alignment horizontal="center" wrapText="1"/>
    </xf>
    <xf numFmtId="38" fontId="58" fillId="0" borderId="86" xfId="15" applyFont="1" applyBorder="1"/>
    <xf numFmtId="38" fontId="58" fillId="0" borderId="99" xfId="15" applyFont="1" applyBorder="1"/>
    <xf numFmtId="189" fontId="58" fillId="0" borderId="99" xfId="15" applyNumberFormat="1" applyFont="1" applyBorder="1"/>
    <xf numFmtId="191" fontId="58" fillId="0" borderId="87" xfId="15" applyNumberFormat="1" applyFont="1" applyBorder="1"/>
    <xf numFmtId="38" fontId="66" fillId="0" borderId="95" xfId="15" applyFont="1" applyFill="1" applyBorder="1" applyAlignment="1">
      <alignment horizontal="center"/>
    </xf>
    <xf numFmtId="38" fontId="66" fillId="0" borderId="91" xfId="15" applyFont="1" applyFill="1" applyBorder="1" applyAlignment="1">
      <alignment horizontal="center"/>
    </xf>
    <xf numFmtId="190" fontId="66" fillId="0" borderId="91" xfId="15" applyNumberFormat="1" applyFont="1" applyFill="1" applyBorder="1" applyAlignment="1">
      <alignment horizontal="center"/>
    </xf>
    <xf numFmtId="193" fontId="66" fillId="0" borderId="93" xfId="15" applyNumberFormat="1" applyFont="1" applyFill="1" applyBorder="1" applyAlignment="1">
      <alignment horizontal="center"/>
    </xf>
    <xf numFmtId="38" fontId="66" fillId="0" borderId="101" xfId="15" applyFont="1" applyFill="1" applyBorder="1" applyAlignment="1">
      <alignment horizontal="center"/>
    </xf>
    <xf numFmtId="38" fontId="66" fillId="0" borderId="88" xfId="15" applyFont="1" applyFill="1" applyBorder="1" applyAlignment="1">
      <alignment horizontal="center"/>
    </xf>
    <xf numFmtId="38" fontId="66" fillId="0" borderId="92" xfId="15" applyFont="1" applyFill="1" applyBorder="1" applyAlignment="1">
      <alignment horizontal="center"/>
    </xf>
    <xf numFmtId="190" fontId="66" fillId="0" borderId="92" xfId="15" applyNumberFormat="1" applyFont="1" applyFill="1" applyBorder="1" applyAlignment="1">
      <alignment horizontal="center"/>
    </xf>
    <xf numFmtId="193" fontId="66" fillId="0" borderId="94" xfId="15" applyNumberFormat="1" applyFont="1" applyFill="1" applyBorder="1" applyAlignment="1">
      <alignment horizontal="center"/>
    </xf>
    <xf numFmtId="190" fontId="66" fillId="0" borderId="97" xfId="15" applyNumberFormat="1" applyFont="1" applyFill="1" applyBorder="1" applyAlignment="1">
      <alignment horizontal="centerContinuous"/>
    </xf>
    <xf numFmtId="190" fontId="66" fillId="0" borderId="85" xfId="15" applyNumberFormat="1" applyFont="1" applyFill="1" applyBorder="1" applyAlignment="1">
      <alignment horizontal="centerContinuous"/>
    </xf>
    <xf numFmtId="190" fontId="66" fillId="0" borderId="96" xfId="15" applyNumberFormat="1" applyFont="1" applyFill="1" applyBorder="1" applyAlignment="1">
      <alignment horizontal="center" shrinkToFit="1"/>
    </xf>
    <xf numFmtId="190" fontId="66" fillId="0" borderId="82" xfId="15" applyNumberFormat="1" applyFont="1" applyFill="1" applyBorder="1" applyAlignment="1">
      <alignment horizontal="center" shrinkToFit="1"/>
    </xf>
    <xf numFmtId="190" fontId="66" fillId="0" borderId="80" xfId="15" applyNumberFormat="1" applyFont="1" applyFill="1" applyBorder="1" applyAlignment="1">
      <alignment horizontal="center" shrinkToFit="1"/>
    </xf>
    <xf numFmtId="190" fontId="66" fillId="0" borderId="81" xfId="15" applyNumberFormat="1" applyFont="1" applyFill="1" applyBorder="1" applyAlignment="1">
      <alignment horizontal="center" shrinkToFit="1"/>
    </xf>
    <xf numFmtId="190" fontId="66" fillId="0" borderId="83" xfId="15" applyNumberFormat="1" applyFont="1" applyFill="1" applyBorder="1" applyAlignment="1">
      <alignment horizontal="centerContinuous"/>
    </xf>
    <xf numFmtId="190" fontId="66" fillId="0" borderId="84" xfId="15" applyNumberFormat="1" applyFont="1" applyFill="1" applyBorder="1" applyAlignment="1">
      <alignment horizontal="centerContinuous"/>
    </xf>
    <xf numFmtId="190" fontId="66" fillId="0" borderId="90" xfId="15" applyNumberFormat="1" applyFont="1" applyFill="1" applyBorder="1" applyAlignment="1">
      <alignment horizontal="center" shrinkToFit="1"/>
    </xf>
    <xf numFmtId="189" fontId="67" fillId="0" borderId="84" xfId="15" applyNumberFormat="1" applyFont="1" applyBorder="1"/>
    <xf numFmtId="189" fontId="67" fillId="0" borderId="97" xfId="15" applyNumberFormat="1" applyFont="1" applyBorder="1"/>
    <xf numFmtId="194" fontId="67" fillId="0" borderId="84" xfId="15" applyNumberFormat="1" applyFont="1" applyBorder="1"/>
    <xf numFmtId="194" fontId="67" fillId="0" borderId="83" xfId="15" applyNumberFormat="1" applyFont="1" applyBorder="1"/>
    <xf numFmtId="189" fontId="67" fillId="0" borderId="84" xfId="15" applyNumberFormat="1" applyFont="1" applyBorder="1" applyProtection="1">
      <protection locked="0"/>
    </xf>
    <xf numFmtId="189" fontId="67" fillId="0" borderId="97" xfId="15" applyNumberFormat="1" applyFont="1" applyBorder="1" applyProtection="1">
      <protection locked="0"/>
    </xf>
    <xf numFmtId="194" fontId="67" fillId="0" borderId="84" xfId="15" applyNumberFormat="1" applyFont="1" applyBorder="1" applyProtection="1">
      <protection locked="0"/>
    </xf>
    <xf numFmtId="194" fontId="67" fillId="0" borderId="83" xfId="15" applyNumberFormat="1" applyFont="1" applyBorder="1" applyProtection="1">
      <protection locked="0"/>
    </xf>
    <xf numFmtId="189" fontId="67" fillId="0" borderId="84" xfId="15" applyNumberFormat="1" applyFont="1" applyFill="1" applyBorder="1" applyProtection="1">
      <protection locked="0"/>
    </xf>
    <xf numFmtId="189" fontId="67" fillId="0" borderId="97" xfId="15" applyNumberFormat="1" applyFont="1" applyFill="1" applyBorder="1" applyProtection="1">
      <protection locked="0"/>
    </xf>
    <xf numFmtId="194" fontId="67" fillId="0" borderId="84" xfId="15" applyNumberFormat="1" applyFont="1" applyFill="1" applyBorder="1" applyProtection="1">
      <protection locked="0"/>
    </xf>
    <xf numFmtId="194" fontId="67" fillId="0" borderId="83" xfId="15" applyNumberFormat="1" applyFont="1" applyFill="1" applyBorder="1" applyProtection="1">
      <protection locked="0"/>
    </xf>
    <xf numFmtId="189" fontId="67" fillId="0" borderId="99" xfId="15" applyNumberFormat="1" applyFont="1" applyFill="1" applyBorder="1" applyProtection="1">
      <protection locked="0"/>
    </xf>
    <xf numFmtId="189" fontId="67" fillId="0" borderId="100" xfId="15" applyNumberFormat="1" applyFont="1" applyFill="1" applyBorder="1" applyProtection="1">
      <protection locked="0"/>
    </xf>
    <xf numFmtId="194" fontId="67" fillId="0" borderId="99" xfId="15" applyNumberFormat="1" applyFont="1" applyFill="1" applyBorder="1" applyProtection="1">
      <protection locked="0"/>
    </xf>
    <xf numFmtId="194" fontId="67" fillId="0" borderId="86" xfId="15" applyNumberFormat="1" applyFont="1" applyFill="1" applyBorder="1" applyProtection="1">
      <protection locked="0"/>
    </xf>
    <xf numFmtId="190" fontId="66" fillId="0" borderId="105" xfId="15" applyNumberFormat="1" applyFont="1" applyFill="1" applyBorder="1" applyAlignment="1">
      <alignment horizontal="centerContinuous"/>
    </xf>
    <xf numFmtId="0" fontId="65" fillId="0" borderId="106" xfId="22" applyFont="1" applyFill="1" applyBorder="1" applyAlignment="1">
      <alignment horizontal="centerContinuous" vertical="center"/>
    </xf>
    <xf numFmtId="0" fontId="65" fillId="0" borderId="102" xfId="22" applyFont="1" applyFill="1" applyBorder="1" applyAlignment="1">
      <alignment horizontal="centerContinuous" vertical="center"/>
    </xf>
    <xf numFmtId="0" fontId="65" fillId="0" borderId="103" xfId="22" applyFont="1" applyFill="1" applyBorder="1" applyAlignment="1">
      <alignment horizontal="centerContinuous" vertical="center"/>
    </xf>
    <xf numFmtId="0" fontId="65" fillId="0" borderId="104" xfId="22" applyFont="1" applyFill="1" applyBorder="1" applyAlignment="1">
      <alignment horizontal="centerContinuous" vertical="center"/>
    </xf>
    <xf numFmtId="194" fontId="67" fillId="0" borderId="85" xfId="15" applyNumberFormat="1" applyFont="1" applyBorder="1"/>
    <xf numFmtId="194" fontId="67" fillId="0" borderId="85" xfId="15" applyNumberFormat="1" applyFont="1" applyBorder="1" applyProtection="1">
      <protection locked="0"/>
    </xf>
    <xf numFmtId="194" fontId="67" fillId="0" borderId="85" xfId="15" applyNumberFormat="1" applyFont="1" applyFill="1" applyBorder="1" applyProtection="1">
      <protection locked="0"/>
    </xf>
    <xf numFmtId="194" fontId="67" fillId="0" borderId="87" xfId="15" applyNumberFormat="1" applyFont="1" applyFill="1" applyBorder="1" applyProtection="1">
      <protection locked="0"/>
    </xf>
    <xf numFmtId="0" fontId="0" fillId="0" borderId="0" xfId="0" applyBorder="1" applyAlignment="1">
      <alignment horizontal="center" vertical="center"/>
    </xf>
    <xf numFmtId="0" fontId="17" fillId="0" borderId="3" xfId="0" applyFont="1" applyBorder="1" applyAlignment="1">
      <alignment horizontal="center" vertical="center"/>
    </xf>
    <xf numFmtId="0" fontId="10" fillId="0" borderId="0" xfId="0" applyFont="1" applyBorder="1" applyAlignment="1">
      <alignment horizontal="center" vertical="center" wrapText="1"/>
    </xf>
    <xf numFmtId="0" fontId="0" fillId="0" borderId="0" xfId="0" applyFill="1" applyBorder="1" applyAlignment="1">
      <alignment horizontal="center" vertical="center"/>
    </xf>
    <xf numFmtId="177" fontId="0" fillId="0" borderId="0" xfId="0" applyNumberFormat="1" applyFill="1" applyBorder="1" applyAlignment="1">
      <alignment vertical="center"/>
    </xf>
    <xf numFmtId="179" fontId="0" fillId="0" borderId="0" xfId="0" applyNumberFormat="1" applyFill="1" applyBorder="1" applyAlignment="1">
      <alignment vertical="center"/>
    </xf>
    <xf numFmtId="0" fontId="0" fillId="0" borderId="8" xfId="0" applyFont="1" applyFill="1" applyBorder="1" applyAlignment="1">
      <alignment vertical="center"/>
    </xf>
    <xf numFmtId="0" fontId="0" fillId="0" borderId="31" xfId="0" applyFont="1" applyFill="1" applyBorder="1" applyAlignment="1">
      <alignment vertical="center" wrapText="1"/>
    </xf>
    <xf numFmtId="177" fontId="48" fillId="0" borderId="0" xfId="8" applyNumberFormat="1" applyFont="1" applyFill="1" applyBorder="1" applyAlignment="1">
      <alignment horizontal="left" vertical="center"/>
    </xf>
    <xf numFmtId="0" fontId="0" fillId="0" borderId="8" xfId="0" applyFont="1" applyFill="1" applyBorder="1" applyAlignment="1">
      <alignment horizontal="center" vertical="center"/>
    </xf>
    <xf numFmtId="0" fontId="0" fillId="0" borderId="53" xfId="0" applyBorder="1" applyAlignment="1">
      <alignment vertical="center"/>
    </xf>
    <xf numFmtId="0" fontId="0" fillId="0" borderId="53" xfId="0" applyFill="1" applyBorder="1" applyAlignment="1">
      <alignment vertical="center"/>
    </xf>
    <xf numFmtId="177" fontId="0" fillId="0" borderId="53" xfId="0" applyNumberFormat="1" applyFill="1" applyBorder="1" applyAlignment="1">
      <alignment vertical="center"/>
    </xf>
    <xf numFmtId="179" fontId="0" fillId="0" borderId="53" xfId="0" applyNumberFormat="1" applyFill="1" applyBorder="1" applyAlignment="1">
      <alignment vertical="center"/>
    </xf>
    <xf numFmtId="0" fontId="0" fillId="0" borderId="68" xfId="0" applyBorder="1" applyAlignment="1">
      <alignment vertical="center"/>
    </xf>
    <xf numFmtId="38" fontId="0" fillId="0" borderId="68" xfId="0" applyNumberFormat="1" applyBorder="1" applyAlignment="1">
      <alignment vertical="center"/>
    </xf>
    <xf numFmtId="0" fontId="0" fillId="0" borderId="108" xfId="0" applyFill="1" applyBorder="1" applyAlignment="1">
      <alignment vertical="center"/>
    </xf>
    <xf numFmtId="0" fontId="0" fillId="0" borderId="108" xfId="0" applyFill="1" applyBorder="1" applyAlignment="1">
      <alignment horizontal="center" vertical="center"/>
    </xf>
    <xf numFmtId="0" fontId="0" fillId="0" borderId="109" xfId="0" applyFill="1" applyBorder="1" applyAlignment="1">
      <alignment vertical="center"/>
    </xf>
    <xf numFmtId="0" fontId="0" fillId="0" borderId="107" xfId="0" applyFill="1" applyBorder="1" applyAlignment="1">
      <alignment vertical="center"/>
    </xf>
    <xf numFmtId="0" fontId="0" fillId="0" borderId="107" xfId="0" applyFill="1" applyBorder="1" applyAlignment="1">
      <alignment vertical="center" wrapText="1"/>
    </xf>
    <xf numFmtId="0" fontId="0" fillId="0" borderId="107" xfId="0" applyBorder="1" applyAlignment="1">
      <alignment vertical="center"/>
    </xf>
    <xf numFmtId="0" fontId="17" fillId="0" borderId="0" xfId="0" applyFont="1" applyBorder="1" applyAlignment="1">
      <alignment horizontal="center" vertical="center"/>
    </xf>
    <xf numFmtId="38" fontId="0" fillId="0" borderId="107" xfId="0" applyNumberFormat="1" applyFill="1" applyBorder="1" applyAlignment="1">
      <alignment vertical="center"/>
    </xf>
    <xf numFmtId="190" fontId="66" fillId="0" borderId="89" xfId="15" applyNumberFormat="1" applyFont="1" applyFill="1" applyBorder="1" applyAlignment="1">
      <alignment horizontal="centerContinuous" shrinkToFit="1"/>
    </xf>
    <xf numFmtId="0" fontId="0" fillId="0" borderId="109" xfId="0" applyFill="1" applyBorder="1" applyAlignment="1">
      <alignment horizontal="center" vertical="center"/>
    </xf>
    <xf numFmtId="178" fontId="3" fillId="3" borderId="7" xfId="0" applyNumberFormat="1" applyFont="1" applyFill="1" applyBorder="1" applyAlignment="1">
      <alignment vertical="center"/>
    </xf>
    <xf numFmtId="195" fontId="0" fillId="0" borderId="0" xfId="0" applyNumberFormat="1" applyFill="1" applyBorder="1" applyAlignment="1">
      <alignment vertical="center"/>
    </xf>
    <xf numFmtId="196" fontId="0" fillId="0" borderId="0" xfId="0" applyNumberFormat="1" applyFill="1" applyBorder="1" applyAlignment="1">
      <alignment vertical="center"/>
    </xf>
    <xf numFmtId="197" fontId="0" fillId="0" borderId="53" xfId="0" applyNumberFormat="1" applyFill="1" applyBorder="1" applyAlignment="1">
      <alignment vertical="center"/>
    </xf>
    <xf numFmtId="10" fontId="0" fillId="0" borderId="107" xfId="0" applyNumberFormat="1" applyFill="1" applyBorder="1" applyAlignment="1">
      <alignment vertical="center"/>
    </xf>
    <xf numFmtId="0" fontId="0" fillId="0" borderId="3" xfId="0" applyFill="1" applyBorder="1" applyAlignment="1">
      <alignment vertical="center"/>
    </xf>
    <xf numFmtId="184" fontId="0" fillId="0" borderId="3" xfId="0" applyNumberFormat="1" applyFill="1" applyBorder="1" applyAlignment="1">
      <alignment vertical="center"/>
    </xf>
    <xf numFmtId="0" fontId="0" fillId="15" borderId="0" xfId="0" applyFill="1" applyAlignment="1" applyProtection="1">
      <alignment vertical="center"/>
      <protection hidden="1"/>
    </xf>
    <xf numFmtId="0" fontId="3" fillId="0" borderId="109" xfId="0" applyFont="1" applyFill="1" applyBorder="1" applyAlignment="1">
      <alignment vertical="center"/>
    </xf>
    <xf numFmtId="178" fontId="3" fillId="0" borderId="109"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right" vertical="center"/>
    </xf>
    <xf numFmtId="38" fontId="0" fillId="0" borderId="0" xfId="0" applyNumberFormat="1" applyAlignment="1">
      <alignment vertical="center"/>
    </xf>
    <xf numFmtId="0" fontId="0" fillId="0" borderId="54" xfId="0" applyBorder="1" applyAlignment="1">
      <alignment vertical="center"/>
    </xf>
    <xf numFmtId="0" fontId="0" fillId="0" borderId="54" xfId="0" applyFill="1" applyBorder="1" applyAlignment="1">
      <alignment vertical="center"/>
    </xf>
    <xf numFmtId="0" fontId="0" fillId="0" borderId="107" xfId="0" applyFill="1" applyBorder="1" applyAlignment="1">
      <alignment horizontal="center" vertical="center" wrapText="1"/>
    </xf>
    <xf numFmtId="0" fontId="10" fillId="0" borderId="107" xfId="0" applyFont="1" applyBorder="1" applyAlignment="1">
      <alignment horizontal="center" vertical="center" wrapText="1"/>
    </xf>
    <xf numFmtId="0" fontId="0" fillId="0" borderId="107" xfId="0"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10" fontId="0" fillId="0" borderId="53" xfId="0" applyNumberFormat="1" applyFill="1" applyBorder="1" applyAlignment="1">
      <alignment vertical="center"/>
    </xf>
    <xf numFmtId="10" fontId="0" fillId="0" borderId="54" xfId="0" applyNumberFormat="1" applyFill="1" applyBorder="1" applyAlignment="1">
      <alignment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22" fillId="0" borderId="0" xfId="0" applyFont="1" applyFill="1" applyBorder="1" applyAlignment="1">
      <alignment vertical="center"/>
    </xf>
    <xf numFmtId="38" fontId="10" fillId="0" borderId="0" xfId="0" applyNumberFormat="1" applyFont="1" applyFill="1" applyBorder="1" applyAlignment="1" applyProtection="1">
      <alignment vertical="center"/>
      <protection hidden="1"/>
    </xf>
    <xf numFmtId="0" fontId="10" fillId="0" borderId="0" xfId="0" applyFont="1" applyFill="1" applyBorder="1" applyAlignment="1" applyProtection="1">
      <alignment vertical="center" wrapText="1"/>
      <protection hidden="1"/>
    </xf>
    <xf numFmtId="0" fontId="0" fillId="0" borderId="0" xfId="0" applyAlignment="1">
      <alignment vertical="center"/>
    </xf>
    <xf numFmtId="0" fontId="0" fillId="0" borderId="22" xfId="0" applyFont="1" applyBorder="1" applyAlignment="1">
      <alignment vertical="center"/>
    </xf>
    <xf numFmtId="0" fontId="28" fillId="0" borderId="44" xfId="0" applyFont="1" applyBorder="1" applyAlignment="1">
      <alignment horizontal="center" vertical="center"/>
    </xf>
    <xf numFmtId="0" fontId="28" fillId="0" borderId="19" xfId="0" applyFont="1" applyBorder="1" applyAlignment="1">
      <alignment horizontal="center" vertical="center"/>
    </xf>
    <xf numFmtId="0" fontId="28" fillId="0" borderId="45" xfId="0" applyFont="1" applyBorder="1" applyAlignment="1">
      <alignment horizontal="center" vertical="center"/>
    </xf>
    <xf numFmtId="0" fontId="28" fillId="0" borderId="58" xfId="0" applyFont="1" applyBorder="1" applyAlignment="1">
      <alignment vertical="center"/>
    </xf>
    <xf numFmtId="0" fontId="0" fillId="0" borderId="12" xfId="0" applyFont="1" applyBorder="1" applyAlignment="1">
      <alignment vertical="center"/>
    </xf>
    <xf numFmtId="0" fontId="21" fillId="0" borderId="3" xfId="0" applyFont="1" applyFill="1" applyBorder="1" applyAlignment="1">
      <alignment vertical="center"/>
    </xf>
    <xf numFmtId="0" fontId="0" fillId="0" borderId="0" xfId="0" applyAlignment="1">
      <alignment vertical="center"/>
    </xf>
    <xf numFmtId="0" fontId="10" fillId="0" borderId="3" xfId="0" applyFont="1" applyBorder="1" applyAlignment="1">
      <alignment vertical="center"/>
    </xf>
    <xf numFmtId="0" fontId="10" fillId="0" borderId="17" xfId="0" applyFont="1" applyBorder="1" applyAlignment="1">
      <alignment vertical="center"/>
    </xf>
    <xf numFmtId="0" fontId="7" fillId="0" borderId="2" xfId="0" applyFont="1" applyFill="1" applyBorder="1" applyAlignment="1">
      <alignment vertical="center" wrapText="1"/>
    </xf>
    <xf numFmtId="0" fontId="7" fillId="0" borderId="112" xfId="0" applyFont="1" applyFill="1" applyBorder="1" applyAlignment="1">
      <alignment vertical="center"/>
    </xf>
    <xf numFmtId="0" fontId="7" fillId="0" borderId="20" xfId="0" applyFont="1" applyFill="1" applyBorder="1" applyAlignment="1">
      <alignment horizontal="center" vertical="center"/>
    </xf>
    <xf numFmtId="190" fontId="66" fillId="0" borderId="95" xfId="15" applyNumberFormat="1" applyFont="1" applyFill="1" applyBorder="1" applyAlignment="1">
      <alignment horizontal="centerContinuous" shrinkToFit="1"/>
    </xf>
    <xf numFmtId="190" fontId="66" fillId="0" borderId="91" xfId="15" applyNumberFormat="1" applyFont="1" applyFill="1" applyBorder="1" applyAlignment="1">
      <alignment horizontal="centerContinuous" shrinkToFit="1"/>
    </xf>
    <xf numFmtId="0" fontId="65" fillId="0" borderId="113" xfId="22" applyFont="1" applyFill="1" applyBorder="1">
      <alignment vertical="center"/>
    </xf>
    <xf numFmtId="0" fontId="65" fillId="0" borderId="114" xfId="22" applyFont="1" applyFill="1" applyBorder="1">
      <alignment vertical="center"/>
    </xf>
    <xf numFmtId="0" fontId="58" fillId="0" borderId="115" xfId="26" applyFont="1" applyFill="1" applyBorder="1" applyAlignment="1">
      <alignment horizontal="center" wrapText="1"/>
    </xf>
    <xf numFmtId="0" fontId="58" fillId="0" borderId="115" xfId="26" applyFont="1" applyFill="1" applyBorder="1" applyAlignment="1">
      <alignment horizontal="left" wrapText="1"/>
    </xf>
    <xf numFmtId="38" fontId="58" fillId="0" borderId="116" xfId="15" applyFont="1" applyBorder="1"/>
    <xf numFmtId="38" fontId="58" fillId="0" borderId="117" xfId="15" applyFont="1" applyBorder="1"/>
    <xf numFmtId="189" fontId="58" fillId="0" borderId="117" xfId="15" applyNumberFormat="1" applyFont="1" applyBorder="1"/>
    <xf numFmtId="191" fontId="58" fillId="0" borderId="118" xfId="15" applyNumberFormat="1" applyFont="1" applyBorder="1"/>
    <xf numFmtId="189" fontId="67" fillId="0" borderId="117" xfId="15" applyNumberFormat="1" applyFont="1" applyBorder="1"/>
    <xf numFmtId="189" fontId="67" fillId="0" borderId="119" xfId="15" applyNumberFormat="1" applyFont="1" applyBorder="1"/>
    <xf numFmtId="194" fontId="67" fillId="0" borderId="117" xfId="15" applyNumberFormat="1" applyFont="1" applyBorder="1"/>
    <xf numFmtId="194" fontId="67" fillId="0" borderId="116" xfId="15" applyNumberFormat="1" applyFont="1" applyBorder="1"/>
    <xf numFmtId="194" fontId="67" fillId="0" borderId="118" xfId="15" applyNumberFormat="1" applyFont="1" applyBorder="1"/>
    <xf numFmtId="0" fontId="55" fillId="0" borderId="115" xfId="26" applyFont="1" applyFill="1" applyBorder="1" applyAlignment="1">
      <alignment horizontal="left" wrapText="1"/>
    </xf>
    <xf numFmtId="189" fontId="55" fillId="0" borderId="117" xfId="15" applyNumberFormat="1" applyFont="1" applyBorder="1"/>
    <xf numFmtId="191" fontId="55" fillId="0" borderId="118" xfId="15" applyNumberFormat="1" applyFont="1" applyBorder="1"/>
    <xf numFmtId="38" fontId="55" fillId="0" borderId="116" xfId="15" applyFont="1" applyBorder="1"/>
    <xf numFmtId="38" fontId="55" fillId="0" borderId="117" xfId="15" applyFont="1" applyBorder="1"/>
    <xf numFmtId="0" fontId="61" fillId="0" borderId="115" xfId="26" applyFont="1" applyFill="1" applyBorder="1" applyAlignment="1">
      <alignment horizontal="center" wrapText="1"/>
    </xf>
    <xf numFmtId="0" fontId="61" fillId="0" borderId="115" xfId="26" applyFont="1" applyFill="1" applyBorder="1" applyAlignment="1">
      <alignment horizontal="left" wrapText="1"/>
    </xf>
    <xf numFmtId="38" fontId="61" fillId="0" borderId="116" xfId="15" applyFont="1" applyBorder="1"/>
    <xf numFmtId="38" fontId="61" fillId="0" borderId="117" xfId="15" applyFont="1" applyBorder="1"/>
    <xf numFmtId="189" fontId="61" fillId="0" borderId="117" xfId="15" applyNumberFormat="1" applyFont="1" applyBorder="1"/>
    <xf numFmtId="191" fontId="61" fillId="0" borderId="118" xfId="15" applyNumberFormat="1" applyFont="1" applyBorder="1"/>
    <xf numFmtId="38" fontId="61" fillId="0" borderId="116" xfId="15" applyFont="1" applyBorder="1" applyProtection="1">
      <protection locked="0"/>
    </xf>
    <xf numFmtId="38" fontId="61" fillId="0" borderId="117" xfId="15" applyFont="1" applyBorder="1" applyProtection="1">
      <protection locked="0"/>
    </xf>
    <xf numFmtId="189" fontId="61" fillId="0" borderId="117" xfId="15" applyNumberFormat="1" applyFont="1" applyBorder="1" applyProtection="1">
      <protection locked="0"/>
    </xf>
    <xf numFmtId="191" fontId="61" fillId="0" borderId="118" xfId="15" applyNumberFormat="1" applyFont="1" applyBorder="1" applyProtection="1">
      <protection locked="0"/>
    </xf>
    <xf numFmtId="189" fontId="67" fillId="0" borderId="117" xfId="15" applyNumberFormat="1" applyFont="1" applyBorder="1" applyProtection="1">
      <protection locked="0"/>
    </xf>
    <xf numFmtId="189" fontId="67" fillId="0" borderId="119" xfId="15" applyNumberFormat="1" applyFont="1" applyBorder="1" applyProtection="1">
      <protection locked="0"/>
    </xf>
    <xf numFmtId="194" fontId="67" fillId="0" borderId="117" xfId="15" applyNumberFormat="1" applyFont="1" applyBorder="1" applyProtection="1">
      <protection locked="0"/>
    </xf>
    <xf numFmtId="194" fontId="67" fillId="0" borderId="116" xfId="15" applyNumberFormat="1" applyFont="1" applyBorder="1" applyProtection="1">
      <protection locked="0"/>
    </xf>
    <xf numFmtId="194" fontId="67" fillId="0" borderId="118" xfId="15" applyNumberFormat="1" applyFont="1" applyBorder="1" applyProtection="1">
      <protection locked="0"/>
    </xf>
    <xf numFmtId="0" fontId="60" fillId="0" borderId="115" xfId="26" applyFont="1" applyFill="1" applyBorder="1" applyAlignment="1">
      <alignment horizontal="center" wrapText="1"/>
    </xf>
    <xf numFmtId="0" fontId="60" fillId="0" borderId="115" xfId="26" applyFont="1" applyFill="1" applyBorder="1" applyAlignment="1">
      <alignment horizontal="left" wrapText="1"/>
    </xf>
    <xf numFmtId="38" fontId="60" fillId="0" borderId="116" xfId="15" applyFont="1" applyBorder="1"/>
    <xf numFmtId="38" fontId="60" fillId="0" borderId="117" xfId="15" applyFont="1" applyBorder="1"/>
    <xf numFmtId="189" fontId="60" fillId="0" borderId="117" xfId="15" applyNumberFormat="1" applyFont="1" applyBorder="1"/>
    <xf numFmtId="191" fontId="60" fillId="0" borderId="118" xfId="15" applyNumberFormat="1" applyFont="1" applyBorder="1"/>
    <xf numFmtId="0" fontId="59" fillId="0" borderId="115" xfId="26" applyFont="1" applyFill="1" applyBorder="1" applyAlignment="1">
      <alignment horizontal="center" wrapText="1"/>
    </xf>
    <xf numFmtId="0" fontId="59" fillId="0" borderId="115" xfId="26" applyFont="1" applyFill="1" applyBorder="1" applyAlignment="1">
      <alignment horizontal="left" wrapText="1"/>
    </xf>
    <xf numFmtId="38" fontId="59" fillId="0" borderId="116" xfId="15" applyFont="1" applyBorder="1"/>
    <xf numFmtId="38" fontId="59" fillId="0" borderId="117" xfId="15" applyFont="1" applyBorder="1" applyProtection="1">
      <protection locked="0"/>
    </xf>
    <xf numFmtId="189" fontId="59" fillId="0" borderId="117" xfId="15" applyNumberFormat="1" applyFont="1" applyBorder="1" applyProtection="1">
      <protection locked="0"/>
    </xf>
    <xf numFmtId="191" fontId="59" fillId="0" borderId="118" xfId="15" applyNumberFormat="1" applyFont="1" applyBorder="1" applyProtection="1">
      <protection locked="0"/>
    </xf>
    <xf numFmtId="38" fontId="59" fillId="0" borderId="116" xfId="15" applyFont="1" applyBorder="1" applyProtection="1">
      <protection locked="0"/>
    </xf>
    <xf numFmtId="38" fontId="59" fillId="0" borderId="117" xfId="15" applyFont="1" applyBorder="1"/>
    <xf numFmtId="189" fontId="59" fillId="0" borderId="117" xfId="15" applyNumberFormat="1" applyFont="1" applyBorder="1"/>
    <xf numFmtId="191" fontId="59" fillId="0" borderId="118" xfId="15" applyNumberFormat="1" applyFont="1" applyBorder="1"/>
    <xf numFmtId="0" fontId="63" fillId="0" borderId="115" xfId="26" applyFont="1" applyFill="1" applyBorder="1" applyAlignment="1">
      <alignment horizontal="center" wrapText="1"/>
    </xf>
    <xf numFmtId="0" fontId="63" fillId="0" borderId="115" xfId="26" applyFont="1" applyFill="1" applyBorder="1" applyAlignment="1">
      <alignment horizontal="left" wrapText="1"/>
    </xf>
    <xf numFmtId="38" fontId="63" fillId="0" borderId="116" xfId="15" applyFont="1" applyBorder="1" applyProtection="1">
      <protection locked="0"/>
    </xf>
    <xf numFmtId="38" fontId="63" fillId="0" borderId="117" xfId="15" applyFont="1" applyBorder="1" applyProtection="1">
      <protection locked="0"/>
    </xf>
    <xf numFmtId="189" fontId="63" fillId="0" borderId="117" xfId="15" applyNumberFormat="1" applyFont="1" applyBorder="1" applyProtection="1">
      <protection locked="0"/>
    </xf>
    <xf numFmtId="191" fontId="63" fillId="0" borderId="118" xfId="15" applyNumberFormat="1" applyFont="1" applyBorder="1" applyProtection="1">
      <protection locked="0"/>
    </xf>
    <xf numFmtId="0" fontId="63" fillId="0" borderId="120" xfId="26" applyFont="1" applyFill="1" applyBorder="1" applyAlignment="1">
      <alignment horizontal="center" wrapText="1"/>
    </xf>
    <xf numFmtId="0" fontId="63" fillId="0" borderId="120" xfId="26" applyFont="1" applyFill="1" applyBorder="1" applyAlignment="1">
      <alignment horizontal="left" wrapText="1"/>
    </xf>
    <xf numFmtId="38" fontId="63" fillId="0" borderId="121" xfId="15" applyFont="1" applyBorder="1" applyProtection="1">
      <protection locked="0"/>
    </xf>
    <xf numFmtId="38" fontId="63" fillId="0" borderId="122" xfId="15" applyFont="1" applyBorder="1" applyProtection="1">
      <protection locked="0"/>
    </xf>
    <xf numFmtId="189" fontId="63" fillId="0" borderId="122" xfId="15" applyNumberFormat="1" applyFont="1" applyBorder="1" applyProtection="1">
      <protection locked="0"/>
    </xf>
    <xf numFmtId="191" fontId="63" fillId="0" borderId="123" xfId="15" applyNumberFormat="1" applyFont="1" applyBorder="1" applyProtection="1">
      <protection locked="0"/>
    </xf>
    <xf numFmtId="189" fontId="67" fillId="0" borderId="122" xfId="15" applyNumberFormat="1" applyFont="1" applyBorder="1" applyProtection="1">
      <protection locked="0"/>
    </xf>
    <xf numFmtId="189" fontId="67" fillId="0" borderId="124" xfId="15" applyNumberFormat="1" applyFont="1" applyBorder="1" applyProtection="1">
      <protection locked="0"/>
    </xf>
    <xf numFmtId="194" fontId="67" fillId="0" borderId="122" xfId="15" applyNumberFormat="1" applyFont="1" applyBorder="1" applyProtection="1">
      <protection locked="0"/>
    </xf>
    <xf numFmtId="194" fontId="67" fillId="0" borderId="114" xfId="15" applyNumberFormat="1" applyFont="1" applyBorder="1"/>
    <xf numFmtId="194" fontId="67" fillId="0" borderId="121" xfId="15" applyNumberFormat="1" applyFont="1" applyBorder="1" applyProtection="1">
      <protection locked="0"/>
    </xf>
    <xf numFmtId="194" fontId="67" fillId="0" borderId="123" xfId="15" applyNumberFormat="1" applyFont="1" applyBorder="1" applyProtection="1">
      <protection locked="0"/>
    </xf>
    <xf numFmtId="0" fontId="62" fillId="0" borderId="115" xfId="26" applyFont="1" applyFill="1" applyBorder="1" applyAlignment="1">
      <alignment horizontal="center" wrapText="1"/>
    </xf>
    <xf numFmtId="0" fontId="62" fillId="0" borderId="115" xfId="26" applyFont="1" applyFill="1" applyBorder="1" applyAlignment="1">
      <alignment horizontal="left" wrapText="1"/>
    </xf>
    <xf numFmtId="38" fontId="62" fillId="0" borderId="116" xfId="15" applyFont="1" applyBorder="1" applyProtection="1">
      <protection locked="0"/>
    </xf>
    <xf numFmtId="38" fontId="62" fillId="0" borderId="117" xfId="15" applyFont="1" applyBorder="1" applyProtection="1">
      <protection locked="0"/>
    </xf>
    <xf numFmtId="189" fontId="62" fillId="0" borderId="117" xfId="15" applyNumberFormat="1" applyFont="1" applyBorder="1" applyProtection="1">
      <protection locked="0"/>
    </xf>
    <xf numFmtId="191" fontId="62" fillId="0" borderId="118" xfId="15" applyNumberFormat="1" applyFont="1" applyBorder="1" applyProtection="1">
      <protection locked="0"/>
    </xf>
    <xf numFmtId="0" fontId="62" fillId="0" borderId="125" xfId="26" applyFont="1" applyFill="1" applyBorder="1" applyAlignment="1">
      <alignment horizontal="center" wrapText="1"/>
    </xf>
    <xf numFmtId="0" fontId="62" fillId="0" borderId="125" xfId="26" applyFont="1" applyFill="1" applyBorder="1" applyAlignment="1">
      <alignment horizontal="left" wrapText="1"/>
    </xf>
    <xf numFmtId="38" fontId="62" fillId="0" borderId="113" xfId="15" applyFont="1" applyBorder="1" applyProtection="1">
      <protection locked="0"/>
    </xf>
    <xf numFmtId="38" fontId="62" fillId="0" borderId="114" xfId="15" applyFont="1" applyBorder="1" applyProtection="1">
      <protection locked="0"/>
    </xf>
    <xf numFmtId="189" fontId="62" fillId="0" borderId="114" xfId="15" applyNumberFormat="1" applyFont="1" applyBorder="1" applyProtection="1">
      <protection locked="0"/>
    </xf>
    <xf numFmtId="191" fontId="62" fillId="0" borderId="126" xfId="15" applyNumberFormat="1" applyFont="1" applyBorder="1" applyProtection="1">
      <protection locked="0"/>
    </xf>
    <xf numFmtId="189" fontId="67" fillId="0" borderId="114" xfId="15" applyNumberFormat="1" applyFont="1" applyBorder="1" applyProtection="1">
      <protection locked="0"/>
    </xf>
    <xf numFmtId="189" fontId="67" fillId="0" borderId="127" xfId="15" applyNumberFormat="1" applyFont="1" applyBorder="1" applyProtection="1">
      <protection locked="0"/>
    </xf>
    <xf numFmtId="194" fontId="67" fillId="0" borderId="114" xfId="15" applyNumberFormat="1" applyFont="1" applyBorder="1" applyProtection="1">
      <protection locked="0"/>
    </xf>
    <xf numFmtId="194" fontId="67" fillId="0" borderId="113" xfId="15" applyNumberFormat="1" applyFont="1" applyBorder="1" applyProtection="1">
      <protection locked="0"/>
    </xf>
    <xf numFmtId="194" fontId="67" fillId="0" borderId="126" xfId="15" applyNumberFormat="1" applyFont="1" applyBorder="1" applyProtection="1">
      <protection locked="0"/>
    </xf>
    <xf numFmtId="194" fontId="67" fillId="15" borderId="117" xfId="15" applyNumberFormat="1" applyFont="1" applyFill="1" applyBorder="1"/>
    <xf numFmtId="0" fontId="7" fillId="0" borderId="128" xfId="0" applyFont="1" applyFill="1" applyBorder="1" applyAlignment="1">
      <alignment vertical="center"/>
    </xf>
    <xf numFmtId="0" fontId="0" fillId="0" borderId="129" xfId="0" applyFont="1" applyFill="1" applyBorder="1" applyAlignment="1">
      <alignment vertical="center" wrapText="1"/>
    </xf>
    <xf numFmtId="0" fontId="3" fillId="0" borderId="0" xfId="8" applyFont="1" applyFill="1" applyBorder="1" applyAlignment="1">
      <alignment vertical="center"/>
    </xf>
    <xf numFmtId="177" fontId="68" fillId="0" borderId="0" xfId="8" applyNumberFormat="1" applyFont="1" applyFill="1" applyBorder="1" applyAlignment="1">
      <alignment horizontal="left" vertical="center"/>
    </xf>
    <xf numFmtId="0" fontId="50" fillId="0" borderId="0" xfId="0" applyFont="1" applyFill="1" applyBorder="1" applyAlignment="1">
      <alignment vertical="center"/>
    </xf>
    <xf numFmtId="38" fontId="3" fillId="2" borderId="31" xfId="2" applyFont="1" applyFill="1" applyBorder="1" applyAlignment="1" applyProtection="1">
      <alignment vertical="center"/>
      <protection locked="0"/>
    </xf>
    <xf numFmtId="38" fontId="3" fillId="2" borderId="22" xfId="2" applyFont="1" applyFill="1" applyBorder="1" applyAlignment="1" applyProtection="1">
      <alignment vertical="center"/>
      <protection locked="0"/>
    </xf>
    <xf numFmtId="0" fontId="16" fillId="0" borderId="69" xfId="0" applyFont="1" applyFill="1" applyBorder="1" applyAlignment="1" applyProtection="1">
      <alignment horizontal="center" vertical="center"/>
      <protection hidden="1"/>
    </xf>
    <xf numFmtId="38" fontId="3" fillId="2" borderId="72" xfId="2" applyFont="1" applyFill="1" applyBorder="1" applyAlignment="1" applyProtection="1">
      <alignment vertical="center"/>
      <protection locked="0"/>
    </xf>
    <xf numFmtId="0" fontId="16" fillId="15" borderId="109" xfId="0" applyFont="1" applyFill="1" applyBorder="1" applyAlignment="1" applyProtection="1">
      <alignment horizontal="center" vertical="center"/>
      <protection hidden="1"/>
    </xf>
    <xf numFmtId="0" fontId="51" fillId="0" borderId="32" xfId="0" applyFont="1" applyBorder="1" applyAlignment="1">
      <alignment horizontal="center" vertical="center"/>
    </xf>
    <xf numFmtId="0" fontId="51" fillId="0" borderId="25" xfId="9" applyFont="1" applyFill="1" applyBorder="1" applyAlignment="1" applyProtection="1">
      <alignment horizontal="center" vertical="center"/>
      <protection hidden="1"/>
    </xf>
    <xf numFmtId="0" fontId="51" fillId="0" borderId="132" xfId="9" applyFont="1" applyFill="1" applyBorder="1" applyAlignment="1" applyProtection="1">
      <alignment horizontal="center" vertical="center"/>
      <protection hidden="1"/>
    </xf>
    <xf numFmtId="0" fontId="10" fillId="17" borderId="109" xfId="0" applyFont="1" applyFill="1" applyBorder="1" applyAlignment="1">
      <alignment horizontal="centerContinuous" vertical="center"/>
    </xf>
    <xf numFmtId="0" fontId="10" fillId="17" borderId="109" xfId="0" applyFont="1" applyFill="1" applyBorder="1" applyAlignment="1">
      <alignment vertical="center"/>
    </xf>
    <xf numFmtId="0" fontId="3" fillId="17" borderId="109" xfId="0" applyFont="1" applyFill="1" applyBorder="1" applyAlignment="1">
      <alignment vertical="center"/>
    </xf>
    <xf numFmtId="0" fontId="0" fillId="17" borderId="109" xfId="0" applyFill="1" applyBorder="1" applyAlignment="1">
      <alignment vertical="center"/>
    </xf>
    <xf numFmtId="0" fontId="15" fillId="17" borderId="109" xfId="9" applyFont="1" applyFill="1" applyBorder="1" applyAlignment="1" applyProtection="1">
      <alignment horizontal="center" vertical="center"/>
      <protection hidden="1"/>
    </xf>
    <xf numFmtId="199" fontId="10" fillId="17" borderId="109" xfId="0" applyNumberFormat="1" applyFont="1" applyFill="1" applyBorder="1" applyAlignment="1">
      <alignment vertical="center"/>
    </xf>
    <xf numFmtId="0" fontId="8" fillId="17" borderId="109" xfId="0" applyFont="1" applyFill="1" applyBorder="1" applyAlignment="1">
      <alignment vertical="center"/>
    </xf>
    <xf numFmtId="38" fontId="3" fillId="2" borderId="24" xfId="2" applyFont="1" applyFill="1" applyBorder="1" applyAlignment="1" applyProtection="1">
      <alignment vertical="center"/>
      <protection locked="0"/>
    </xf>
    <xf numFmtId="0" fontId="0" fillId="0" borderId="0" xfId="0" applyFont="1" applyAlignment="1">
      <alignment vertical="center"/>
    </xf>
    <xf numFmtId="0" fontId="0" fillId="0" borderId="0" xfId="0" applyFont="1" applyAlignment="1">
      <alignment horizontal="centerContinuous" vertical="center"/>
    </xf>
    <xf numFmtId="0" fontId="0" fillId="0" borderId="0" xfId="0" applyFont="1" applyFill="1" applyAlignment="1">
      <alignment horizontal="centerContinuous" vertical="center"/>
    </xf>
    <xf numFmtId="0" fontId="0" fillId="0" borderId="0" xfId="0" applyFont="1" applyBorder="1" applyAlignment="1">
      <alignment vertical="center"/>
    </xf>
    <xf numFmtId="0" fontId="10" fillId="0" borderId="131" xfId="0" applyFont="1" applyFill="1" applyBorder="1" applyAlignment="1">
      <alignment horizontal="centerContinuous" vertical="center"/>
    </xf>
    <xf numFmtId="0" fontId="0" fillId="0" borderId="15" xfId="0" applyFont="1" applyBorder="1" applyAlignment="1">
      <alignment vertical="center"/>
    </xf>
    <xf numFmtId="0" fontId="0" fillId="0" borderId="112" xfId="0" applyFont="1" applyBorder="1" applyAlignment="1">
      <alignment vertical="center"/>
    </xf>
    <xf numFmtId="0" fontId="10" fillId="0" borderId="3" xfId="0" applyFont="1" applyFill="1" applyBorder="1" applyAlignment="1">
      <alignment horizontal="centerContinuous" vertical="center"/>
    </xf>
    <xf numFmtId="0" fontId="0" fillId="0" borderId="10" xfId="0" applyFont="1" applyBorder="1" applyAlignment="1">
      <alignment vertical="center"/>
    </xf>
    <xf numFmtId="0" fontId="0" fillId="0" borderId="20" xfId="0" applyFont="1" applyBorder="1" applyAlignment="1">
      <alignment vertical="center"/>
    </xf>
    <xf numFmtId="0" fontId="0" fillId="0" borderId="16" xfId="0" applyFont="1" applyBorder="1" applyAlignment="1">
      <alignment vertical="center"/>
    </xf>
    <xf numFmtId="0" fontId="0" fillId="0" borderId="27" xfId="0" applyFont="1" applyBorder="1" applyAlignment="1">
      <alignment vertical="center"/>
    </xf>
    <xf numFmtId="0" fontId="10" fillId="0" borderId="18" xfId="0" applyFont="1" applyFill="1" applyBorder="1" applyAlignment="1">
      <alignment horizontal="centerContinuous" vertical="center"/>
    </xf>
    <xf numFmtId="0" fontId="0" fillId="0" borderId="17" xfId="0" applyFont="1" applyBorder="1" applyAlignment="1">
      <alignment vertical="center"/>
    </xf>
    <xf numFmtId="0" fontId="0" fillId="0" borderId="42" xfId="0" applyFont="1" applyBorder="1" applyAlignment="1">
      <alignment vertical="center"/>
    </xf>
    <xf numFmtId="3" fontId="10" fillId="9" borderId="16" xfId="0" applyNumberFormat="1" applyFont="1" applyFill="1" applyBorder="1" applyAlignment="1" applyProtection="1">
      <alignment vertical="center"/>
      <protection locked="0"/>
    </xf>
    <xf numFmtId="0" fontId="51" fillId="0" borderId="10" xfId="0" applyFont="1" applyFill="1" applyBorder="1" applyAlignment="1">
      <alignment vertical="center"/>
    </xf>
    <xf numFmtId="0" fontId="3" fillId="0" borderId="20" xfId="0" applyFont="1" applyFill="1" applyBorder="1" applyAlignment="1">
      <alignment vertical="center"/>
    </xf>
    <xf numFmtId="0" fontId="10" fillId="0" borderId="71" xfId="9" applyFont="1" applyBorder="1" applyAlignment="1" applyProtection="1">
      <alignment vertical="center"/>
      <protection hidden="1"/>
    </xf>
    <xf numFmtId="0" fontId="15" fillId="0" borderId="47" xfId="9" applyFont="1" applyBorder="1" applyAlignment="1" applyProtection="1">
      <alignment horizontal="center" vertical="center"/>
      <protection hidden="1"/>
    </xf>
    <xf numFmtId="0" fontId="10" fillId="0" borderId="44" xfId="9" applyFont="1" applyBorder="1" applyAlignment="1">
      <alignment vertical="center"/>
    </xf>
    <xf numFmtId="0" fontId="9" fillId="0" borderId="72" xfId="9" applyFont="1" applyBorder="1" applyAlignment="1">
      <alignment horizontal="right" vertical="center"/>
    </xf>
    <xf numFmtId="0" fontId="10" fillId="0" borderId="20" xfId="0" applyFont="1" applyBorder="1" applyAlignment="1">
      <alignment horizontal="right" vertical="center"/>
    </xf>
    <xf numFmtId="178" fontId="10" fillId="2" borderId="47" xfId="9" applyNumberFormat="1" applyFont="1" applyFill="1" applyBorder="1" applyAlignment="1" applyProtection="1">
      <alignment vertical="center"/>
      <protection locked="0"/>
    </xf>
    <xf numFmtId="0" fontId="3" fillId="0" borderId="72" xfId="9" applyFont="1" applyBorder="1" applyAlignment="1">
      <alignment horizontal="right" vertical="center"/>
    </xf>
    <xf numFmtId="0" fontId="51" fillId="0" borderId="44" xfId="9" applyFont="1" applyBorder="1" applyAlignment="1">
      <alignment vertical="center"/>
    </xf>
    <xf numFmtId="0" fontId="51" fillId="0" borderId="19" xfId="9" applyFont="1" applyBorder="1" applyAlignment="1">
      <alignment vertical="center"/>
    </xf>
    <xf numFmtId="0" fontId="3" fillId="0" borderId="21" xfId="9" applyFont="1" applyBorder="1" applyAlignment="1">
      <alignment horizontal="right" vertical="center"/>
    </xf>
    <xf numFmtId="0" fontId="10" fillId="2" borderId="132" xfId="9" applyFont="1" applyFill="1" applyBorder="1" applyAlignment="1" applyProtection="1">
      <alignment vertical="center"/>
      <protection locked="0"/>
    </xf>
    <xf numFmtId="0" fontId="3" fillId="2" borderId="133" xfId="9" applyFont="1" applyFill="1" applyBorder="1" applyAlignment="1" applyProtection="1">
      <alignment horizontal="center" vertical="center"/>
      <protection locked="0"/>
    </xf>
    <xf numFmtId="192" fontId="10" fillId="2" borderId="10" xfId="9" applyNumberFormat="1" applyFont="1" applyFill="1" applyBorder="1" applyAlignment="1" applyProtection="1">
      <alignment vertical="center"/>
      <protection locked="0"/>
    </xf>
    <xf numFmtId="0" fontId="3" fillId="15" borderId="0" xfId="9" applyFont="1" applyFill="1" applyAlignment="1">
      <alignment vertical="center"/>
    </xf>
    <xf numFmtId="0" fontId="0" fillId="15" borderId="53" xfId="0" applyFill="1" applyBorder="1" applyAlignment="1">
      <alignment vertical="center"/>
    </xf>
    <xf numFmtId="0" fontId="0" fillId="15" borderId="53" xfId="0" applyFill="1" applyBorder="1" applyAlignment="1">
      <alignment horizontal="center" vertical="center"/>
    </xf>
    <xf numFmtId="0" fontId="0" fillId="0" borderId="70" xfId="0" applyFill="1" applyBorder="1" applyAlignment="1">
      <alignment vertical="center"/>
    </xf>
    <xf numFmtId="177" fontId="0" fillId="0" borderId="70" xfId="0" applyNumberFormat="1" applyFill="1" applyBorder="1" applyAlignment="1">
      <alignment vertical="center"/>
    </xf>
    <xf numFmtId="0" fontId="0" fillId="0" borderId="68" xfId="0" applyFill="1" applyBorder="1" applyAlignment="1">
      <alignment vertical="center"/>
    </xf>
    <xf numFmtId="177" fontId="0" fillId="0" borderId="68" xfId="0" applyNumberFormat="1" applyFill="1" applyBorder="1" applyAlignment="1">
      <alignment vertical="center"/>
    </xf>
    <xf numFmtId="192" fontId="10" fillId="16" borderId="31" xfId="0" applyNumberFormat="1" applyFont="1" applyFill="1" applyBorder="1" applyAlignment="1" applyProtection="1">
      <alignment horizontal="left" vertical="center" wrapText="1"/>
    </xf>
    <xf numFmtId="0" fontId="0" fillId="0" borderId="0" xfId="0" applyAlignment="1">
      <alignment vertical="center"/>
    </xf>
    <xf numFmtId="0" fontId="10" fillId="0" borderId="0" xfId="0" applyFont="1" applyFill="1" applyAlignment="1">
      <alignment horizontal="left" vertical="center"/>
    </xf>
    <xf numFmtId="38" fontId="10" fillId="0" borderId="0" xfId="0" applyNumberFormat="1" applyFont="1" applyFill="1" applyAlignment="1">
      <alignment horizontal="left" vertical="center"/>
    </xf>
    <xf numFmtId="185"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right" vertical="center"/>
    </xf>
    <xf numFmtId="185" fontId="0" fillId="0" borderId="0" xfId="0" applyNumberFormat="1" applyAlignment="1">
      <alignment vertical="center" wrapText="1"/>
    </xf>
    <xf numFmtId="0" fontId="10" fillId="0" borderId="0" xfId="14" applyFont="1" applyFill="1" applyBorder="1" applyAlignment="1" applyProtection="1">
      <alignment horizontal="center" vertical="center"/>
    </xf>
    <xf numFmtId="49" fontId="10" fillId="0" borderId="0" xfId="0" applyNumberFormat="1" applyFont="1" applyFill="1" applyBorder="1" applyAlignment="1" applyProtection="1">
      <alignment vertical="center"/>
      <protection hidden="1"/>
    </xf>
    <xf numFmtId="38" fontId="10" fillId="0" borderId="0" xfId="2" applyFont="1" applyFill="1" applyBorder="1" applyAlignment="1" applyProtection="1">
      <alignment vertical="center"/>
    </xf>
    <xf numFmtId="178" fontId="10" fillId="0" borderId="0" xfId="0" applyNumberFormat="1" applyFont="1" applyFill="1" applyBorder="1" applyAlignment="1">
      <alignment horizontal="center" vertical="center" wrapText="1"/>
    </xf>
    <xf numFmtId="0" fontId="3" fillId="0" borderId="128" xfId="0" applyFont="1" applyFill="1" applyBorder="1" applyAlignment="1">
      <alignment vertical="center"/>
    </xf>
    <xf numFmtId="192" fontId="10" fillId="2" borderId="1" xfId="0" applyNumberFormat="1" applyFont="1" applyFill="1" applyBorder="1" applyAlignment="1" applyProtection="1">
      <alignment horizontal="center" vertical="center" wrapText="1"/>
      <protection locked="0"/>
    </xf>
    <xf numFmtId="0" fontId="50" fillId="0" borderId="0" xfId="6" applyFont="1" applyFill="1" applyBorder="1" applyAlignment="1" applyProtection="1">
      <alignment vertical="center"/>
    </xf>
    <xf numFmtId="0" fontId="16" fillId="0" borderId="108" xfId="0" applyFont="1" applyFill="1" applyBorder="1" applyAlignment="1" applyProtection="1">
      <alignment horizontal="center" vertical="center"/>
      <protection hidden="1"/>
    </xf>
    <xf numFmtId="14" fontId="10" fillId="11" borderId="107" xfId="0" applyNumberFormat="1" applyFont="1" applyFill="1" applyBorder="1" applyAlignment="1" applyProtection="1">
      <alignment horizontal="center" vertical="center"/>
      <protection hidden="1"/>
    </xf>
    <xf numFmtId="0" fontId="37" fillId="11" borderId="107" xfId="0" applyFont="1" applyFill="1" applyBorder="1" applyAlignment="1" applyProtection="1">
      <alignment horizontal="center" vertical="center"/>
      <protection hidden="1"/>
    </xf>
    <xf numFmtId="0" fontId="70" fillId="0" borderId="0" xfId="0" applyFont="1" applyAlignment="1">
      <alignment vertical="center"/>
    </xf>
    <xf numFmtId="203" fontId="3" fillId="2" borderId="7" xfId="2" applyNumberFormat="1" applyFont="1" applyFill="1" applyBorder="1" applyAlignment="1" applyProtection="1">
      <alignment horizontal="right" vertical="center"/>
      <protection locked="0"/>
    </xf>
    <xf numFmtId="203" fontId="9" fillId="2" borderId="7" xfId="2" applyNumberFormat="1" applyFont="1" applyFill="1" applyBorder="1" applyAlignment="1" applyProtection="1">
      <alignment horizontal="right" vertical="center"/>
      <protection locked="0"/>
    </xf>
    <xf numFmtId="0" fontId="15" fillId="0" borderId="25" xfId="0" applyFont="1" applyFill="1" applyBorder="1" applyAlignment="1" applyProtection="1">
      <alignment horizontal="right" vertical="center"/>
      <protection hidden="1"/>
    </xf>
    <xf numFmtId="0" fontId="56" fillId="0" borderId="0" xfId="0" applyFont="1" applyFill="1" applyBorder="1" applyAlignment="1">
      <alignment vertical="center"/>
    </xf>
    <xf numFmtId="3" fontId="56" fillId="0" borderId="0" xfId="0" applyNumberFormat="1" applyFont="1" applyFill="1" applyBorder="1" applyAlignment="1">
      <alignment vertical="center"/>
    </xf>
    <xf numFmtId="184" fontId="10" fillId="2" borderId="130" xfId="1" applyNumberFormat="1" applyFont="1" applyFill="1" applyBorder="1" applyAlignment="1" applyProtection="1">
      <alignment vertical="center"/>
      <protection locked="0"/>
    </xf>
    <xf numFmtId="49" fontId="10" fillId="2" borderId="27" xfId="9" applyNumberFormat="1" applyFont="1" applyFill="1" applyBorder="1" applyAlignment="1" applyProtection="1">
      <alignment vertical="center"/>
      <protection locked="0"/>
    </xf>
    <xf numFmtId="0" fontId="51" fillId="0" borderId="27" xfId="9" applyFont="1" applyFill="1" applyBorder="1" applyAlignment="1" applyProtection="1">
      <alignment horizontal="center" vertical="center"/>
      <protection hidden="1"/>
    </xf>
    <xf numFmtId="0" fontId="0" fillId="15" borderId="0" xfId="0" applyFill="1" applyAlignment="1" applyProtection="1">
      <alignment vertical="center" wrapText="1"/>
      <protection hidden="1"/>
    </xf>
    <xf numFmtId="0" fontId="10" fillId="15" borderId="0" xfId="0" applyFont="1" applyFill="1" applyAlignment="1" applyProtection="1">
      <alignment vertical="center"/>
      <protection hidden="1"/>
    </xf>
    <xf numFmtId="0" fontId="10" fillId="15" borderId="0" xfId="11" applyFont="1" applyFill="1" applyBorder="1" applyAlignment="1" applyProtection="1">
      <alignment vertical="center" wrapText="1"/>
    </xf>
    <xf numFmtId="0" fontId="10" fillId="15" borderId="0" xfId="11" applyFont="1" applyFill="1" applyBorder="1" applyAlignment="1" applyProtection="1">
      <alignment vertical="center"/>
    </xf>
    <xf numFmtId="0" fontId="50" fillId="0" borderId="0" xfId="9" applyFont="1" applyFill="1" applyAlignment="1">
      <alignment vertical="center"/>
    </xf>
    <xf numFmtId="0" fontId="0" fillId="0" borderId="0" xfId="0" applyAlignment="1">
      <alignment vertical="center"/>
    </xf>
    <xf numFmtId="0" fontId="0" fillId="0" borderId="2" xfId="0" applyFont="1" applyFill="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68" fillId="0" borderId="0" xfId="8" applyFont="1" applyFill="1" applyBorder="1" applyAlignment="1">
      <alignment horizontal="left" vertical="center"/>
    </xf>
    <xf numFmtId="0" fontId="10" fillId="0" borderId="0" xfId="6" applyFont="1" applyFill="1" applyBorder="1" applyAlignment="1">
      <alignment vertical="center"/>
    </xf>
    <xf numFmtId="0" fontId="55" fillId="0" borderId="0" xfId="8" applyFont="1" applyFill="1" applyBorder="1" applyAlignment="1">
      <alignment vertical="center"/>
    </xf>
    <xf numFmtId="0" fontId="3" fillId="15" borderId="8" xfId="0" applyFont="1" applyFill="1" applyBorder="1" applyAlignment="1">
      <alignment vertical="center"/>
    </xf>
    <xf numFmtId="0" fontId="0" fillId="15" borderId="1" xfId="0" applyFont="1" applyFill="1" applyBorder="1" applyAlignment="1">
      <alignment vertical="center"/>
    </xf>
    <xf numFmtId="0" fontId="16" fillId="4" borderId="109" xfId="0" applyFont="1" applyFill="1" applyBorder="1" applyAlignment="1" applyProtection="1">
      <alignment horizontal="center" vertical="center"/>
      <protection hidden="1"/>
    </xf>
    <xf numFmtId="0" fontId="16" fillId="4" borderId="108" xfId="0" applyFont="1" applyFill="1" applyBorder="1" applyAlignment="1" applyProtection="1">
      <alignment horizontal="center" vertical="center"/>
      <protection hidden="1"/>
    </xf>
    <xf numFmtId="0" fontId="7" fillId="0" borderId="0" xfId="0" quotePrefix="1" applyFont="1" applyFill="1" applyBorder="1" applyAlignment="1" applyProtection="1">
      <alignment horizontal="center" vertical="center"/>
      <protection hidden="1"/>
    </xf>
    <xf numFmtId="38" fontId="9" fillId="0" borderId="3" xfId="2" applyFont="1" applyFill="1" applyBorder="1" applyAlignment="1" applyProtection="1">
      <alignment horizontal="center" vertical="center"/>
    </xf>
    <xf numFmtId="38" fontId="9" fillId="0" borderId="0" xfId="2" applyFont="1" applyFill="1" applyBorder="1" applyAlignment="1" applyProtection="1">
      <alignment horizontal="center" vertical="center"/>
    </xf>
    <xf numFmtId="0" fontId="8" fillId="0" borderId="46" xfId="0" applyFont="1" applyFill="1" applyBorder="1" applyAlignment="1">
      <alignment horizontal="center" vertical="center"/>
    </xf>
    <xf numFmtId="0" fontId="8" fillId="0" borderId="7" xfId="0" applyFont="1" applyFill="1" applyBorder="1" applyAlignment="1">
      <alignment vertical="center"/>
    </xf>
    <xf numFmtId="38" fontId="7" fillId="20" borderId="107" xfId="2" applyFont="1" applyFill="1" applyBorder="1" applyAlignment="1" applyProtection="1">
      <alignment horizontal="center" vertical="center"/>
    </xf>
    <xf numFmtId="38" fontId="7" fillId="20" borderId="130" xfId="2" applyFont="1" applyFill="1" applyBorder="1" applyAlignment="1" applyProtection="1">
      <alignment horizontal="center" vertical="center"/>
    </xf>
    <xf numFmtId="38" fontId="3" fillId="20" borderId="7" xfId="2" applyFill="1" applyBorder="1" applyAlignment="1" applyProtection="1">
      <alignment horizontal="center" vertical="center"/>
      <protection hidden="1"/>
    </xf>
    <xf numFmtId="38" fontId="3" fillId="20" borderId="1" xfId="2" applyFill="1" applyBorder="1" applyAlignment="1" applyProtection="1">
      <alignment horizontal="center" vertical="center"/>
      <protection hidden="1"/>
    </xf>
    <xf numFmtId="38" fontId="0" fillId="20" borderId="46" xfId="2" applyFont="1" applyFill="1" applyBorder="1" applyAlignment="1" applyProtection="1">
      <alignment horizontal="center" vertical="center"/>
      <protection hidden="1"/>
    </xf>
    <xf numFmtId="38" fontId="3" fillId="20" borderId="5" xfId="2" applyFill="1" applyBorder="1" applyAlignment="1" applyProtection="1">
      <alignment horizontal="center" vertical="center"/>
      <protection hidden="1"/>
    </xf>
    <xf numFmtId="38" fontId="3" fillId="20" borderId="53" xfId="2" applyFill="1" applyBorder="1" applyAlignment="1" applyProtection="1">
      <alignment horizontal="center" vertical="center"/>
      <protection hidden="1"/>
    </xf>
    <xf numFmtId="38" fontId="3" fillId="20" borderId="22" xfId="2" applyFill="1" applyBorder="1" applyAlignment="1" applyProtection="1">
      <alignment horizontal="center" vertical="center"/>
      <protection hidden="1"/>
    </xf>
    <xf numFmtId="38" fontId="3" fillId="20" borderId="7" xfId="2" applyFont="1" applyFill="1" applyBorder="1" applyAlignment="1" applyProtection="1">
      <alignment horizontal="center" vertical="center"/>
      <protection hidden="1"/>
    </xf>
    <xf numFmtId="38" fontId="3" fillId="20" borderId="1" xfId="2" applyFont="1" applyFill="1" applyBorder="1" applyAlignment="1" applyProtection="1">
      <alignment horizontal="center" vertical="center"/>
      <protection hidden="1"/>
    </xf>
    <xf numFmtId="38" fontId="7" fillId="20" borderId="7" xfId="2" applyFont="1" applyFill="1" applyBorder="1" applyAlignment="1" applyProtection="1">
      <alignment horizontal="center" vertical="center"/>
      <protection hidden="1"/>
    </xf>
    <xf numFmtId="38" fontId="7" fillId="20" borderId="51" xfId="2" applyFont="1" applyFill="1" applyBorder="1" applyAlignment="1" applyProtection="1">
      <alignment horizontal="center" vertical="center"/>
      <protection hidden="1"/>
    </xf>
    <xf numFmtId="0" fontId="0" fillId="20" borderId="52" xfId="0" applyFill="1" applyBorder="1" applyAlignment="1">
      <alignment horizontal="center" vertical="center"/>
    </xf>
    <xf numFmtId="0" fontId="0" fillId="20" borderId="53" xfId="0" applyFill="1" applyBorder="1" applyAlignment="1">
      <alignment horizontal="center" vertical="center"/>
    </xf>
    <xf numFmtId="0" fontId="0" fillId="20" borderId="53" xfId="0" applyFill="1" applyBorder="1" applyAlignment="1" applyProtection="1">
      <alignment horizontal="center" vertical="center"/>
    </xf>
    <xf numFmtId="0" fontId="0" fillId="20" borderId="54" xfId="0" applyFill="1" applyBorder="1" applyAlignment="1">
      <alignment horizontal="center" vertical="center"/>
    </xf>
    <xf numFmtId="38" fontId="9" fillId="20" borderId="7" xfId="2" applyFont="1" applyFill="1" applyBorder="1" applyAlignment="1" applyProtection="1">
      <alignment horizontal="center" vertical="center"/>
    </xf>
    <xf numFmtId="0" fontId="3" fillId="15" borderId="131" xfId="0" applyFont="1" applyFill="1" applyBorder="1" applyAlignment="1" applyProtection="1">
      <alignment vertical="center"/>
    </xf>
    <xf numFmtId="49" fontId="0" fillId="15" borderId="109" xfId="0" applyNumberFormat="1" applyFill="1" applyBorder="1" applyAlignment="1" applyProtection="1">
      <alignment horizontal="center" vertical="center"/>
    </xf>
    <xf numFmtId="0" fontId="0" fillId="15" borderId="109" xfId="0" applyFont="1" applyFill="1" applyBorder="1" applyAlignment="1" applyProtection="1">
      <alignment vertical="center"/>
    </xf>
    <xf numFmtId="0" fontId="42" fillId="15" borderId="109" xfId="0" applyFont="1" applyFill="1" applyBorder="1" applyAlignment="1" applyProtection="1">
      <alignment vertical="center"/>
    </xf>
    <xf numFmtId="0" fontId="0" fillId="15" borderId="109" xfId="0" applyFill="1" applyBorder="1" applyAlignment="1" applyProtection="1">
      <alignment vertical="center"/>
    </xf>
    <xf numFmtId="38" fontId="3" fillId="15" borderId="112" xfId="2" applyFont="1" applyFill="1" applyBorder="1" applyAlignment="1" applyProtection="1">
      <alignment vertical="center"/>
    </xf>
    <xf numFmtId="0" fontId="0" fillId="4" borderId="3" xfId="0" applyFont="1" applyFill="1" applyBorder="1" applyAlignment="1" applyProtection="1">
      <alignment vertical="center"/>
    </xf>
    <xf numFmtId="49" fontId="7" fillId="4" borderId="0" xfId="0"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7" fillId="4" borderId="0" xfId="0" applyFont="1" applyFill="1" applyBorder="1" applyAlignment="1" applyProtection="1">
      <alignment vertical="center"/>
    </xf>
    <xf numFmtId="0" fontId="0" fillId="4" borderId="0" xfId="0" applyFill="1" applyBorder="1" applyAlignment="1" applyProtection="1">
      <alignment vertical="center"/>
    </xf>
    <xf numFmtId="0" fontId="3" fillId="4" borderId="18" xfId="0" applyFont="1" applyFill="1" applyBorder="1" applyAlignment="1" applyProtection="1">
      <alignment vertical="center"/>
    </xf>
    <xf numFmtId="49" fontId="7" fillId="4" borderId="17" xfId="0" applyNumberFormat="1" applyFont="1" applyFill="1" applyBorder="1" applyAlignment="1" applyProtection="1">
      <alignment horizontal="center" vertical="center"/>
    </xf>
    <xf numFmtId="0" fontId="7" fillId="4" borderId="17" xfId="0" applyFont="1" applyFill="1" applyBorder="1" applyAlignment="1" applyProtection="1">
      <alignment vertical="center"/>
    </xf>
    <xf numFmtId="0" fontId="7" fillId="4" borderId="17" xfId="0" applyFont="1" applyFill="1" applyBorder="1" applyAlignment="1" applyProtection="1">
      <alignment horizontal="center" vertical="center"/>
    </xf>
    <xf numFmtId="0" fontId="0" fillId="4" borderId="17" xfId="0" applyFill="1" applyBorder="1" applyAlignment="1" applyProtection="1">
      <alignment vertical="center"/>
    </xf>
    <xf numFmtId="0" fontId="3" fillId="4" borderId="6" xfId="0" applyFont="1" applyFill="1" applyBorder="1" applyAlignment="1" applyProtection="1">
      <alignment vertical="center"/>
    </xf>
    <xf numFmtId="49" fontId="8" fillId="4" borderId="4" xfId="0" applyNumberFormat="1" applyFont="1" applyFill="1" applyBorder="1" applyAlignment="1" applyProtection="1">
      <alignment horizontal="center" vertical="center"/>
    </xf>
    <xf numFmtId="49" fontId="9" fillId="4" borderId="4" xfId="0" applyNumberFormat="1" applyFont="1" applyFill="1" applyBorder="1" applyAlignment="1" applyProtection="1">
      <alignment horizontal="center" vertical="center"/>
    </xf>
    <xf numFmtId="38" fontId="7" fillId="4" borderId="112" xfId="2" applyFont="1" applyFill="1" applyBorder="1" applyAlignment="1" applyProtection="1">
      <alignment vertical="center"/>
    </xf>
    <xf numFmtId="49" fontId="7" fillId="4" borderId="18" xfId="0" applyNumberFormat="1" applyFont="1" applyFill="1" applyBorder="1" applyAlignment="1" applyProtection="1">
      <alignment horizontal="center" vertical="center"/>
    </xf>
    <xf numFmtId="0" fontId="9" fillId="4" borderId="17" xfId="0" applyFont="1" applyFill="1" applyBorder="1" applyAlignment="1" applyProtection="1">
      <alignment vertical="center"/>
    </xf>
    <xf numFmtId="38" fontId="7" fillId="0" borderId="4" xfId="2" applyFont="1" applyFill="1" applyBorder="1" applyAlignment="1" applyProtection="1">
      <alignment vertical="center"/>
    </xf>
    <xf numFmtId="38" fontId="7" fillId="0" borderId="0" xfId="2" applyFont="1" applyFill="1" applyBorder="1" applyAlignment="1" applyProtection="1">
      <alignment vertical="center"/>
    </xf>
    <xf numFmtId="0" fontId="0" fillId="20" borderId="7" xfId="0" applyFill="1" applyBorder="1" applyAlignment="1" applyProtection="1">
      <alignment horizontal="center" vertical="center"/>
    </xf>
    <xf numFmtId="0" fontId="0" fillId="20" borderId="1" xfId="0" applyFill="1" applyBorder="1" applyAlignment="1" applyProtection="1">
      <alignment horizontal="center" vertical="center"/>
    </xf>
    <xf numFmtId="38" fontId="7" fillId="20" borderId="7" xfId="2" applyFont="1" applyFill="1" applyBorder="1" applyAlignment="1" applyProtection="1">
      <alignment horizontal="center" vertical="center"/>
    </xf>
    <xf numFmtId="38" fontId="7" fillId="20" borderId="1" xfId="2" applyFont="1" applyFill="1" applyBorder="1" applyAlignment="1" applyProtection="1">
      <alignment horizontal="center" vertical="center"/>
    </xf>
    <xf numFmtId="38" fontId="0" fillId="20" borderId="1" xfId="2" applyFont="1" applyFill="1" applyBorder="1" applyAlignment="1" applyProtection="1">
      <alignment horizontal="center" vertical="center"/>
    </xf>
    <xf numFmtId="38" fontId="7" fillId="20" borderId="52" xfId="2" applyFont="1" applyFill="1" applyBorder="1" applyAlignment="1" applyProtection="1">
      <alignment horizontal="center" vertical="center"/>
    </xf>
    <xf numFmtId="38" fontId="7" fillId="20" borderId="31" xfId="2" applyFont="1" applyFill="1" applyBorder="1" applyAlignment="1" applyProtection="1">
      <alignment horizontal="center" vertical="center"/>
    </xf>
    <xf numFmtId="38" fontId="0" fillId="20" borderId="31" xfId="2" applyFont="1" applyFill="1" applyBorder="1" applyAlignment="1" applyProtection="1">
      <alignment horizontal="center" vertical="center"/>
    </xf>
    <xf numFmtId="38" fontId="7" fillId="20" borderId="53" xfId="2" applyFont="1" applyFill="1" applyBorder="1" applyAlignment="1" applyProtection="1">
      <alignment horizontal="center" vertical="center"/>
    </xf>
    <xf numFmtId="38" fontId="7" fillId="20" borderId="22" xfId="2" applyFont="1" applyFill="1" applyBorder="1" applyAlignment="1" applyProtection="1">
      <alignment horizontal="center" vertical="center"/>
    </xf>
    <xf numFmtId="38" fontId="7" fillId="20" borderId="54" xfId="2" applyFont="1" applyFill="1" applyBorder="1" applyAlignment="1" applyProtection="1">
      <alignment horizontal="center" vertical="center"/>
    </xf>
    <xf numFmtId="38" fontId="7" fillId="20" borderId="21" xfId="2" applyFont="1" applyFill="1" applyBorder="1" applyAlignment="1" applyProtection="1">
      <alignment horizontal="center" vertical="center"/>
    </xf>
    <xf numFmtId="38" fontId="0" fillId="20" borderId="130" xfId="2" applyFont="1" applyFill="1" applyBorder="1" applyAlignment="1" applyProtection="1">
      <alignment horizontal="center" vertical="center"/>
    </xf>
    <xf numFmtId="38" fontId="3" fillId="20" borderId="53" xfId="2" applyFill="1" applyBorder="1" applyAlignment="1" applyProtection="1">
      <alignment horizontal="center" vertical="center"/>
    </xf>
    <xf numFmtId="38" fontId="3" fillId="20" borderId="22" xfId="2" applyFill="1" applyBorder="1" applyAlignment="1" applyProtection="1">
      <alignment horizontal="center" vertical="center"/>
    </xf>
    <xf numFmtId="38" fontId="3" fillId="20" borderId="58" xfId="2" applyFill="1" applyBorder="1" applyAlignment="1" applyProtection="1">
      <alignment horizontal="center" vertical="center"/>
    </xf>
    <xf numFmtId="38" fontId="3" fillId="20" borderId="20" xfId="2" applyFill="1" applyBorder="1" applyAlignment="1" applyProtection="1">
      <alignment horizontal="center" vertical="center"/>
    </xf>
    <xf numFmtId="38" fontId="3" fillId="20" borderId="59" xfId="2" applyFill="1" applyBorder="1" applyAlignment="1" applyProtection="1">
      <alignment horizontal="center" vertical="center"/>
    </xf>
    <xf numFmtId="38" fontId="3" fillId="20" borderId="24" xfId="2" applyFill="1" applyBorder="1" applyAlignment="1" applyProtection="1">
      <alignment horizontal="center" vertical="center"/>
    </xf>
    <xf numFmtId="38" fontId="7" fillId="20" borderId="46" xfId="2" applyFont="1" applyFill="1" applyBorder="1" applyAlignment="1" applyProtection="1">
      <alignment horizontal="center" vertical="center"/>
    </xf>
    <xf numFmtId="38" fontId="7" fillId="20" borderId="5" xfId="2" applyFont="1" applyFill="1" applyBorder="1" applyAlignment="1" applyProtection="1">
      <alignment horizontal="center" vertical="center"/>
    </xf>
    <xf numFmtId="38" fontId="7" fillId="20" borderId="58" xfId="2" applyFont="1" applyFill="1" applyBorder="1" applyAlignment="1" applyProtection="1">
      <alignment horizontal="center" vertical="center"/>
    </xf>
    <xf numFmtId="38" fontId="7" fillId="20" borderId="20" xfId="2" applyFont="1" applyFill="1" applyBorder="1" applyAlignment="1" applyProtection="1">
      <alignment horizontal="center" vertical="center"/>
    </xf>
    <xf numFmtId="38" fontId="7" fillId="20" borderId="59" xfId="2" applyFont="1" applyFill="1" applyBorder="1" applyAlignment="1" applyProtection="1">
      <alignment horizontal="center" vertical="center"/>
    </xf>
    <xf numFmtId="38" fontId="7" fillId="20" borderId="24" xfId="2" applyFont="1" applyFill="1" applyBorder="1" applyAlignment="1" applyProtection="1">
      <alignment horizontal="center" vertical="center"/>
    </xf>
    <xf numFmtId="38" fontId="0" fillId="20" borderId="21" xfId="2" applyFont="1" applyFill="1" applyBorder="1" applyAlignment="1" applyProtection="1">
      <alignment horizontal="center" vertical="center"/>
    </xf>
    <xf numFmtId="38" fontId="7" fillId="15" borderId="46" xfId="2" applyFont="1" applyFill="1" applyBorder="1" applyAlignment="1" applyProtection="1">
      <alignment horizontal="center" vertical="center"/>
    </xf>
    <xf numFmtId="38" fontId="7" fillId="15" borderId="5" xfId="2" applyFont="1" applyFill="1" applyBorder="1" applyAlignment="1" applyProtection="1">
      <alignment horizontal="center" vertical="center"/>
    </xf>
    <xf numFmtId="38" fontId="7" fillId="15" borderId="59" xfId="2" applyFont="1" applyFill="1" applyBorder="1" applyAlignment="1" applyProtection="1">
      <alignment horizontal="center" vertical="center"/>
    </xf>
    <xf numFmtId="38" fontId="7" fillId="15" borderId="24" xfId="2" applyFont="1" applyFill="1" applyBorder="1" applyAlignment="1" applyProtection="1">
      <alignment horizontal="center" vertical="center"/>
    </xf>
    <xf numFmtId="0" fontId="7" fillId="0" borderId="8" xfId="0" applyFont="1" applyFill="1" applyBorder="1" applyAlignment="1">
      <alignment horizontal="center" vertical="center"/>
    </xf>
    <xf numFmtId="0" fontId="7" fillId="0" borderId="2" xfId="0" applyFont="1" applyFill="1" applyBorder="1" applyAlignment="1">
      <alignment vertical="center" wrapText="1"/>
    </xf>
    <xf numFmtId="0" fontId="0" fillId="0" borderId="0" xfId="0" applyAlignment="1">
      <alignment vertical="center"/>
    </xf>
    <xf numFmtId="0" fontId="10" fillId="0" borderId="0" xfId="18" applyFont="1" applyAlignment="1">
      <alignment vertical="center"/>
    </xf>
    <xf numFmtId="0" fontId="16" fillId="15" borderId="34" xfId="0" applyFont="1" applyFill="1" applyBorder="1" applyAlignment="1" applyProtection="1">
      <alignment horizontal="center" vertical="center"/>
      <protection hidden="1"/>
    </xf>
    <xf numFmtId="0" fontId="10" fillId="15" borderId="1" xfId="0" applyFont="1" applyFill="1" applyBorder="1" applyAlignment="1" applyProtection="1">
      <alignment horizontal="left" vertical="center"/>
      <protection locked="0"/>
    </xf>
    <xf numFmtId="0" fontId="12" fillId="0" borderId="0" xfId="0" applyFont="1" applyBorder="1" applyAlignment="1">
      <alignment vertical="center"/>
    </xf>
    <xf numFmtId="0" fontId="7" fillId="0" borderId="131" xfId="0" applyFont="1" applyFill="1" applyBorder="1" applyAlignment="1">
      <alignment vertical="center"/>
    </xf>
    <xf numFmtId="0" fontId="0" fillId="0" borderId="109" xfId="0" applyFont="1" applyFill="1" applyBorder="1" applyAlignment="1">
      <alignment vertical="center" wrapText="1"/>
    </xf>
    <xf numFmtId="0" fontId="16" fillId="0" borderId="134" xfId="0" applyFont="1" applyFill="1" applyBorder="1" applyAlignment="1" applyProtection="1">
      <alignment horizontal="center" vertical="center"/>
      <protection hidden="1"/>
    </xf>
    <xf numFmtId="49" fontId="10" fillId="2" borderId="112" xfId="0" applyNumberFormat="1" applyFont="1" applyFill="1" applyBorder="1" applyAlignment="1" applyProtection="1">
      <alignment horizontal="left" vertical="center" wrapText="1"/>
      <protection locked="0"/>
    </xf>
    <xf numFmtId="0" fontId="0" fillId="0" borderId="112" xfId="0" applyFont="1" applyFill="1" applyBorder="1" applyAlignment="1">
      <alignment vertical="center" wrapText="1"/>
    </xf>
    <xf numFmtId="49" fontId="10" fillId="2" borderId="22" xfId="0" applyNumberFormat="1" applyFont="1" applyFill="1" applyBorder="1" applyAlignment="1" applyProtection="1">
      <alignment horizontal="left" vertical="center" wrapText="1"/>
      <protection locked="0"/>
    </xf>
    <xf numFmtId="49" fontId="10" fillId="2" borderId="21" xfId="0" applyNumberFormat="1" applyFont="1" applyFill="1" applyBorder="1" applyAlignment="1" applyProtection="1">
      <alignment horizontal="left" vertical="center" wrapText="1"/>
      <protection locked="0"/>
    </xf>
    <xf numFmtId="0" fontId="0" fillId="0" borderId="61" xfId="0" applyFont="1" applyFill="1" applyBorder="1" applyAlignment="1">
      <alignment vertical="center" wrapText="1"/>
    </xf>
    <xf numFmtId="0" fontId="0" fillId="0" borderId="49" xfId="0" applyFont="1" applyFill="1" applyBorder="1" applyAlignment="1">
      <alignment vertical="center" wrapText="1"/>
    </xf>
    <xf numFmtId="0" fontId="7" fillId="0" borderId="109" xfId="0" applyFont="1" applyFill="1" applyBorder="1" applyAlignment="1">
      <alignment vertical="center" wrapText="1"/>
    </xf>
    <xf numFmtId="0" fontId="7" fillId="0" borderId="49" xfId="0" applyFont="1" applyFill="1" applyBorder="1" applyAlignment="1">
      <alignment vertical="center" wrapText="1"/>
    </xf>
    <xf numFmtId="0" fontId="0" fillId="15" borderId="0" xfId="0" applyFill="1"/>
    <xf numFmtId="49" fontId="3" fillId="0" borderId="0" xfId="0" applyNumberFormat="1" applyFont="1" applyFill="1" applyBorder="1" applyAlignment="1">
      <alignment vertical="center"/>
    </xf>
    <xf numFmtId="192" fontId="10" fillId="16" borderId="112" xfId="0" applyNumberFormat="1" applyFont="1" applyFill="1" applyBorder="1" applyAlignment="1" applyProtection="1">
      <alignment horizontal="left" vertical="center" wrapText="1"/>
    </xf>
    <xf numFmtId="49" fontId="10" fillId="0" borderId="0" xfId="0" applyNumberFormat="1" applyFont="1" applyFill="1" applyBorder="1" applyAlignment="1" applyProtection="1">
      <alignment horizontal="left" vertical="center" wrapText="1"/>
      <protection locked="0"/>
    </xf>
    <xf numFmtId="0" fontId="3" fillId="15" borderId="0" xfId="0" applyFont="1" applyFill="1"/>
    <xf numFmtId="0" fontId="3" fillId="15" borderId="0" xfId="0" applyFont="1" applyFill="1" applyBorder="1"/>
    <xf numFmtId="0" fontId="3" fillId="15" borderId="0" xfId="0" applyFont="1" applyFill="1" applyBorder="1" applyAlignment="1">
      <alignment wrapText="1"/>
    </xf>
    <xf numFmtId="0" fontId="3" fillId="15" borderId="0" xfId="0" applyFont="1" applyFill="1" applyAlignment="1"/>
    <xf numFmtId="0" fontId="0" fillId="15" borderId="0" xfId="0" applyFont="1" applyFill="1" applyBorder="1" applyAlignment="1">
      <alignment vertical="center"/>
    </xf>
    <xf numFmtId="0" fontId="41" fillId="15" borderId="0" xfId="0" applyFont="1" applyFill="1" applyAlignment="1">
      <alignment vertical="center"/>
    </xf>
    <xf numFmtId="194" fontId="0" fillId="15" borderId="0" xfId="0" applyNumberFormat="1" applyFill="1" applyBorder="1" applyAlignment="1">
      <alignment horizontal="left" vertical="center"/>
    </xf>
    <xf numFmtId="194" fontId="0" fillId="15" borderId="0" xfId="0" quotePrefix="1" applyNumberFormat="1" applyFill="1" applyBorder="1" applyAlignment="1">
      <alignment horizontal="left" vertical="center"/>
    </xf>
    <xf numFmtId="0" fontId="42" fillId="15" borderId="0" xfId="0" applyFont="1" applyFill="1" applyBorder="1"/>
    <xf numFmtId="0" fontId="41" fillId="15" borderId="0" xfId="0" applyFont="1" applyFill="1" applyBorder="1" applyAlignment="1">
      <alignment vertical="center"/>
    </xf>
    <xf numFmtId="0" fontId="3" fillId="15" borderId="0" xfId="0" applyFont="1" applyFill="1" applyBorder="1" applyAlignment="1">
      <alignment vertical="center"/>
    </xf>
    <xf numFmtId="198" fontId="0" fillId="15" borderId="0" xfId="0" applyNumberFormat="1" applyFill="1" applyBorder="1" applyAlignment="1">
      <alignment horizontal="left" vertical="center"/>
    </xf>
    <xf numFmtId="0" fontId="0" fillId="15" borderId="0" xfId="0" applyNumberFormat="1" applyFill="1" applyBorder="1" applyAlignment="1">
      <alignment horizontal="right" vertical="center"/>
    </xf>
    <xf numFmtId="0" fontId="0" fillId="15" borderId="0" xfId="0" applyFont="1" applyFill="1" applyAlignment="1">
      <alignment horizontal="center" vertical="center"/>
    </xf>
    <xf numFmtId="0" fontId="3" fillId="15" borderId="0" xfId="0" applyFont="1" applyFill="1" applyAlignment="1">
      <alignment horizontal="center"/>
    </xf>
    <xf numFmtId="0" fontId="8" fillId="0" borderId="0" xfId="18" applyFont="1" applyAlignment="1">
      <alignment vertical="center"/>
    </xf>
    <xf numFmtId="0" fontId="12" fillId="0" borderId="0" xfId="18" applyFont="1" applyFill="1" applyAlignment="1">
      <alignment vertical="center"/>
    </xf>
    <xf numFmtId="0" fontId="8" fillId="0" borderId="128" xfId="18" applyFont="1" applyFill="1" applyBorder="1" applyAlignment="1">
      <alignment vertical="center"/>
    </xf>
    <xf numFmtId="0" fontId="3" fillId="0" borderId="129" xfId="18" applyBorder="1" applyAlignment="1">
      <alignment vertical="center"/>
    </xf>
    <xf numFmtId="38" fontId="8" fillId="2" borderId="107" xfId="15" applyFont="1" applyFill="1" applyBorder="1" applyAlignment="1" applyProtection="1">
      <alignment vertical="center"/>
      <protection locked="0"/>
    </xf>
    <xf numFmtId="0" fontId="10" fillId="0" borderId="128" xfId="18" applyFont="1" applyBorder="1" applyAlignment="1" applyProtection="1">
      <alignment vertical="center"/>
    </xf>
    <xf numFmtId="0" fontId="3" fillId="0" borderId="129" xfId="16" applyFont="1" applyBorder="1" applyProtection="1">
      <alignment vertical="center"/>
    </xf>
    <xf numFmtId="0" fontId="3" fillId="0" borderId="130" xfId="16" applyFont="1" applyBorder="1" applyProtection="1">
      <alignment vertical="center"/>
    </xf>
    <xf numFmtId="0" fontId="10" fillId="0" borderId="0" xfId="6" applyFont="1" applyFill="1" applyBorder="1" applyAlignment="1" applyProtection="1">
      <alignment horizontal="center" vertical="center"/>
      <protection hidden="1"/>
    </xf>
    <xf numFmtId="0" fontId="17" fillId="0" borderId="0" xfId="7" applyFont="1" applyFill="1" applyBorder="1" applyAlignment="1" applyProtection="1">
      <alignment horizontal="left" vertical="center"/>
      <protection hidden="1"/>
    </xf>
    <xf numFmtId="0" fontId="0" fillId="0" borderId="0" xfId="6" applyFont="1" applyFill="1" applyBorder="1" applyAlignment="1" applyProtection="1">
      <alignment horizontal="center" vertical="center"/>
      <protection hidden="1"/>
    </xf>
    <xf numFmtId="0" fontId="0" fillId="0" borderId="0" xfId="6" applyFont="1" applyFill="1" applyBorder="1" applyAlignment="1" applyProtection="1">
      <alignment vertical="center"/>
      <protection hidden="1"/>
    </xf>
    <xf numFmtId="0" fontId="10" fillId="0" borderId="0" xfId="6" applyFont="1" applyFill="1" applyBorder="1" applyAlignment="1" applyProtection="1">
      <alignment horizontal="left" vertical="center"/>
      <protection hidden="1"/>
    </xf>
    <xf numFmtId="0" fontId="7" fillId="0" borderId="0" xfId="6" applyFont="1" applyFill="1" applyBorder="1" applyAlignment="1" applyProtection="1">
      <alignment horizontal="left" vertical="center"/>
      <protection hidden="1"/>
    </xf>
    <xf numFmtId="0" fontId="10" fillId="17" borderId="0" xfId="30" applyFont="1" applyFill="1" applyAlignment="1">
      <alignment vertical="center"/>
    </xf>
    <xf numFmtId="0" fontId="17" fillId="17" borderId="0" xfId="17" applyFont="1" applyFill="1" applyBorder="1" applyAlignment="1" applyProtection="1">
      <alignment vertical="center"/>
      <protection hidden="1"/>
    </xf>
    <xf numFmtId="0" fontId="10" fillId="17" borderId="0" xfId="6" applyFont="1" applyFill="1">
      <alignment vertical="center"/>
    </xf>
    <xf numFmtId="0" fontId="10" fillId="17" borderId="0" xfId="6" applyFont="1" applyFill="1" applyBorder="1" applyAlignment="1" applyProtection="1">
      <alignment vertical="center"/>
      <protection hidden="1"/>
    </xf>
    <xf numFmtId="0" fontId="15" fillId="17" borderId="0" xfId="6" applyFont="1" applyFill="1" applyBorder="1" applyAlignment="1" applyProtection="1">
      <alignment vertical="center"/>
      <protection hidden="1"/>
    </xf>
    <xf numFmtId="0" fontId="3" fillId="2" borderId="135" xfId="6" applyFont="1" applyFill="1" applyBorder="1" applyAlignment="1" applyProtection="1">
      <alignment vertical="center"/>
      <protection locked="0"/>
    </xf>
    <xf numFmtId="0" fontId="10" fillId="17" borderId="3" xfId="6" applyFont="1" applyFill="1" applyBorder="1">
      <alignment vertical="center"/>
    </xf>
    <xf numFmtId="0" fontId="10" fillId="17" borderId="0" xfId="6" applyFont="1" applyFill="1" applyBorder="1">
      <alignment vertical="center"/>
    </xf>
    <xf numFmtId="0" fontId="3" fillId="2" borderId="52" xfId="6" applyFont="1" applyFill="1" applyBorder="1" applyAlignment="1" applyProtection="1">
      <alignment vertical="center"/>
      <protection locked="0"/>
    </xf>
    <xf numFmtId="3" fontId="3" fillId="2" borderId="23" xfId="6" applyNumberFormat="1" applyFont="1" applyFill="1" applyBorder="1" applyAlignment="1" applyProtection="1">
      <alignment horizontal="right" vertical="center"/>
      <protection locked="0"/>
    </xf>
    <xf numFmtId="3" fontId="3" fillId="2" borderId="22" xfId="6" applyNumberFormat="1" applyFont="1" applyFill="1" applyBorder="1" applyAlignment="1" applyProtection="1">
      <alignment horizontal="right" vertical="center"/>
      <protection locked="0"/>
    </xf>
    <xf numFmtId="3" fontId="8" fillId="2" borderId="22" xfId="6" applyNumberFormat="1" applyFont="1" applyFill="1" applyBorder="1" applyAlignment="1" applyProtection="1">
      <alignment horizontal="right" vertical="center"/>
      <protection locked="0"/>
    </xf>
    <xf numFmtId="49" fontId="0" fillId="3" borderId="29" xfId="18" applyNumberFormat="1" applyFont="1" applyFill="1" applyBorder="1" applyAlignment="1">
      <alignment horizontal="centerContinuous" vertical="center"/>
    </xf>
    <xf numFmtId="0" fontId="12" fillId="3" borderId="15" xfId="18" applyFont="1" applyFill="1" applyBorder="1" applyAlignment="1">
      <alignment horizontal="centerContinuous" vertical="center"/>
    </xf>
    <xf numFmtId="0" fontId="12" fillId="3" borderId="31" xfId="18" applyFont="1" applyFill="1" applyBorder="1" applyAlignment="1">
      <alignment horizontal="centerContinuous" vertical="center"/>
    </xf>
    <xf numFmtId="0" fontId="7" fillId="0" borderId="0" xfId="6" applyFont="1" applyFill="1" applyBorder="1" applyAlignment="1" applyProtection="1">
      <alignment horizontal="left" vertical="center"/>
    </xf>
    <xf numFmtId="0" fontId="3" fillId="17" borderId="0" xfId="6" applyFont="1" applyFill="1" applyAlignment="1" applyProtection="1">
      <alignment vertical="center"/>
    </xf>
    <xf numFmtId="0" fontId="10" fillId="17" borderId="0" xfId="30" applyFont="1" applyFill="1" applyAlignment="1" applyProtection="1">
      <alignment vertical="center"/>
    </xf>
    <xf numFmtId="0" fontId="10" fillId="17" borderId="0" xfId="6" applyFont="1" applyFill="1" applyAlignment="1" applyProtection="1">
      <alignment horizontal="center" vertical="center"/>
    </xf>
    <xf numFmtId="0" fontId="10" fillId="17" borderId="0" xfId="6" applyFont="1" applyFill="1" applyProtection="1">
      <alignment vertical="center"/>
    </xf>
    <xf numFmtId="0" fontId="7" fillId="17" borderId="0" xfId="6" applyFill="1" applyBorder="1" applyAlignment="1" applyProtection="1">
      <alignment vertical="center"/>
    </xf>
    <xf numFmtId="0" fontId="7" fillId="0" borderId="0" xfId="6" applyFill="1" applyBorder="1" applyAlignment="1" applyProtection="1">
      <alignment vertical="center"/>
    </xf>
    <xf numFmtId="0" fontId="10" fillId="17" borderId="131" xfId="6" applyFont="1" applyFill="1" applyBorder="1" applyAlignment="1" applyProtection="1">
      <alignment horizontal="center" vertical="center" wrapText="1"/>
    </xf>
    <xf numFmtId="0" fontId="10" fillId="17" borderId="18" xfId="6" applyFont="1" applyFill="1" applyBorder="1" applyAlignment="1" applyProtection="1">
      <alignment horizontal="center" vertical="center" wrapText="1"/>
    </xf>
    <xf numFmtId="0" fontId="10" fillId="17" borderId="108" xfId="6" applyFont="1" applyFill="1" applyBorder="1" applyAlignment="1" applyProtection="1">
      <alignment vertical="center" wrapText="1"/>
    </xf>
    <xf numFmtId="0" fontId="10" fillId="17" borderId="0" xfId="6" applyFont="1" applyFill="1" applyBorder="1" applyAlignment="1" applyProtection="1">
      <alignment horizontal="center" vertical="center" wrapText="1"/>
    </xf>
    <xf numFmtId="0" fontId="10" fillId="17" borderId="0" xfId="6" applyFont="1" applyFill="1" applyBorder="1" applyAlignment="1" applyProtection="1">
      <alignment vertical="center" wrapText="1"/>
    </xf>
    <xf numFmtId="0" fontId="8" fillId="17" borderId="0" xfId="6" applyFont="1" applyFill="1" applyBorder="1" applyAlignment="1" applyProtection="1">
      <alignment horizontal="right" vertical="center"/>
    </xf>
    <xf numFmtId="0" fontId="10" fillId="17" borderId="109" xfId="6" applyFont="1" applyFill="1" applyBorder="1" applyAlignment="1" applyProtection="1">
      <alignment vertical="center" wrapText="1"/>
    </xf>
    <xf numFmtId="0" fontId="10" fillId="17" borderId="108" xfId="6" applyFont="1" applyFill="1" applyBorder="1" applyAlignment="1" applyProtection="1">
      <alignment horizontal="left" vertical="center" wrapText="1"/>
    </xf>
    <xf numFmtId="0" fontId="10" fillId="17" borderId="108" xfId="6" applyFont="1" applyFill="1" applyBorder="1" applyAlignment="1" applyProtection="1">
      <alignment horizontal="center" vertical="center" wrapText="1"/>
    </xf>
    <xf numFmtId="0" fontId="8" fillId="17" borderId="108" xfId="6" applyFont="1" applyFill="1" applyBorder="1" applyAlignment="1" applyProtection="1">
      <alignment horizontal="right" vertical="center"/>
    </xf>
    <xf numFmtId="0" fontId="10" fillId="17" borderId="3" xfId="6" applyFont="1" applyFill="1" applyBorder="1" applyAlignment="1" applyProtection="1">
      <alignment horizontal="center" vertical="center"/>
    </xf>
    <xf numFmtId="0" fontId="10" fillId="17" borderId="20" xfId="6" applyFont="1" applyFill="1" applyBorder="1" applyProtection="1">
      <alignment vertical="center"/>
    </xf>
    <xf numFmtId="0" fontId="10" fillId="17" borderId="58" xfId="6" applyFont="1" applyFill="1" applyBorder="1" applyProtection="1">
      <alignment vertical="center"/>
    </xf>
    <xf numFmtId="0" fontId="10" fillId="17" borderId="41" xfId="6" applyFont="1" applyFill="1" applyBorder="1" applyProtection="1">
      <alignment vertical="center"/>
    </xf>
    <xf numFmtId="0" fontId="10" fillId="17" borderId="68" xfId="6" applyFont="1" applyFill="1" applyBorder="1" applyProtection="1">
      <alignment vertical="center"/>
    </xf>
    <xf numFmtId="0" fontId="10" fillId="17" borderId="39" xfId="6" applyFont="1" applyFill="1" applyBorder="1" applyProtection="1">
      <alignment vertical="center"/>
    </xf>
    <xf numFmtId="0" fontId="10" fillId="17" borderId="53" xfId="6" applyFont="1" applyFill="1" applyBorder="1" applyProtection="1">
      <alignment vertical="center"/>
    </xf>
    <xf numFmtId="0" fontId="8" fillId="17" borderId="58" xfId="6" applyFont="1" applyFill="1" applyBorder="1" applyAlignment="1" applyProtection="1">
      <alignment horizontal="right" vertical="center"/>
    </xf>
    <xf numFmtId="0" fontId="10" fillId="17" borderId="54" xfId="6" applyFont="1" applyFill="1" applyBorder="1" applyProtection="1">
      <alignment vertical="center"/>
    </xf>
    <xf numFmtId="0" fontId="7" fillId="0" borderId="0" xfId="6" applyProtection="1">
      <alignment vertical="center"/>
    </xf>
    <xf numFmtId="0" fontId="10" fillId="17" borderId="128" xfId="6" applyFont="1" applyFill="1" applyBorder="1" applyAlignment="1" applyProtection="1">
      <alignment horizontal="center" vertical="center"/>
    </xf>
    <xf numFmtId="0" fontId="10" fillId="17" borderId="107" xfId="6" applyFont="1" applyFill="1" applyBorder="1" applyProtection="1">
      <alignment vertical="center"/>
    </xf>
    <xf numFmtId="0" fontId="10" fillId="17" borderId="135" xfId="6" applyFont="1" applyFill="1" applyBorder="1" applyProtection="1">
      <alignment vertical="center"/>
    </xf>
    <xf numFmtId="0" fontId="10" fillId="17" borderId="29" xfId="6" applyFont="1" applyFill="1" applyBorder="1" applyProtection="1">
      <alignment vertical="center"/>
    </xf>
    <xf numFmtId="0" fontId="10" fillId="17" borderId="52" xfId="6" applyFont="1" applyFill="1" applyBorder="1" applyProtection="1">
      <alignment vertical="center"/>
    </xf>
    <xf numFmtId="0" fontId="8" fillId="17" borderId="59" xfId="6" applyFont="1" applyFill="1" applyBorder="1" applyAlignment="1" applyProtection="1">
      <alignment horizontal="right" vertical="center"/>
    </xf>
    <xf numFmtId="0" fontId="8" fillId="17" borderId="20" xfId="6" applyFont="1" applyFill="1" applyBorder="1" applyAlignment="1" applyProtection="1">
      <alignment horizontal="right" vertical="center"/>
    </xf>
    <xf numFmtId="0" fontId="10" fillId="17" borderId="18" xfId="6" applyFont="1" applyFill="1" applyBorder="1" applyAlignment="1" applyProtection="1">
      <alignment horizontal="center" vertical="center"/>
    </xf>
    <xf numFmtId="0" fontId="10" fillId="17" borderId="24" xfId="6" applyFont="1" applyFill="1" applyBorder="1" applyProtection="1">
      <alignment vertical="center"/>
    </xf>
    <xf numFmtId="0" fontId="10" fillId="17" borderId="59" xfId="6" applyFont="1" applyFill="1" applyBorder="1" applyProtection="1">
      <alignment vertical="center"/>
    </xf>
    <xf numFmtId="0" fontId="10" fillId="17" borderId="129" xfId="6" applyFont="1" applyFill="1" applyBorder="1" applyProtection="1">
      <alignment vertical="center"/>
    </xf>
    <xf numFmtId="3" fontId="0" fillId="2" borderId="39" xfId="6" applyNumberFormat="1" applyFont="1" applyFill="1" applyBorder="1" applyAlignment="1" applyProtection="1">
      <alignment horizontal="left" vertical="center"/>
      <protection locked="0"/>
    </xf>
    <xf numFmtId="3" fontId="0" fillId="2" borderId="29" xfId="6" applyNumberFormat="1" applyFont="1" applyFill="1" applyBorder="1" applyAlignment="1" applyProtection="1">
      <alignment horizontal="left" vertical="center"/>
      <protection locked="0"/>
    </xf>
    <xf numFmtId="0" fontId="0" fillId="2" borderId="54" xfId="6" applyFont="1" applyFill="1" applyBorder="1" applyAlignment="1" applyProtection="1">
      <alignment vertical="center"/>
      <protection locked="0"/>
    </xf>
    <xf numFmtId="3" fontId="3" fillId="3" borderId="130" xfId="6" applyNumberFormat="1" applyFont="1" applyFill="1" applyBorder="1" applyAlignment="1" applyProtection="1">
      <alignment vertical="center"/>
      <protection hidden="1"/>
    </xf>
    <xf numFmtId="49" fontId="10" fillId="0" borderId="0" xfId="6" applyNumberFormat="1" applyFont="1" applyFill="1" applyBorder="1" applyAlignment="1">
      <alignment vertical="center"/>
    </xf>
    <xf numFmtId="0" fontId="10" fillId="15" borderId="0" xfId="0" applyFont="1" applyFill="1" applyAlignment="1">
      <alignment vertical="center"/>
    </xf>
    <xf numFmtId="0" fontId="51" fillId="17" borderId="3" xfId="6" applyFont="1" applyFill="1" applyBorder="1">
      <alignment vertical="center"/>
    </xf>
    <xf numFmtId="0" fontId="51" fillId="17" borderId="107" xfId="6" applyFont="1" applyFill="1" applyBorder="1" applyAlignment="1" applyProtection="1">
      <alignment horizontal="center" vertical="center"/>
    </xf>
    <xf numFmtId="0" fontId="0" fillId="0" borderId="0" xfId="6" applyFont="1" applyFill="1" applyBorder="1" applyAlignment="1" applyProtection="1">
      <alignment horizontal="left" vertical="center"/>
    </xf>
    <xf numFmtId="184" fontId="7" fillId="0" borderId="0" xfId="6" applyNumberFormat="1" applyFont="1" applyFill="1" applyBorder="1" applyAlignment="1" applyProtection="1">
      <alignment vertical="center"/>
    </xf>
    <xf numFmtId="0" fontId="0" fillId="0" borderId="0" xfId="6" applyFont="1" applyFill="1" applyBorder="1" applyAlignment="1" applyProtection="1">
      <alignment horizontal="center" vertical="center"/>
    </xf>
    <xf numFmtId="0" fontId="7" fillId="0" borderId="0" xfId="6" applyFont="1" applyFill="1" applyBorder="1" applyAlignment="1" applyProtection="1">
      <alignment horizontal="right" vertical="center"/>
    </xf>
    <xf numFmtId="178" fontId="7" fillId="0" borderId="0" xfId="6" applyNumberFormat="1" applyFont="1" applyFill="1" applyBorder="1" applyAlignment="1" applyProtection="1">
      <alignment horizontal="right" vertical="center"/>
    </xf>
    <xf numFmtId="0" fontId="10" fillId="0" borderId="0" xfId="6" applyFont="1" applyFill="1" applyBorder="1" applyAlignment="1" applyProtection="1">
      <alignment vertical="center"/>
    </xf>
    <xf numFmtId="0" fontId="56" fillId="0" borderId="54" xfId="0" applyFont="1" applyBorder="1" applyAlignment="1">
      <alignment horizontal="center" vertical="center"/>
    </xf>
    <xf numFmtId="0" fontId="51" fillId="17" borderId="52" xfId="6" applyFont="1" applyFill="1" applyBorder="1" applyAlignment="1" applyProtection="1">
      <alignment horizontal="center" vertical="center" wrapText="1"/>
    </xf>
    <xf numFmtId="0" fontId="7" fillId="0" borderId="14" xfId="0" applyFont="1" applyFill="1" applyBorder="1" applyAlignment="1">
      <alignment vertical="center"/>
    </xf>
    <xf numFmtId="184" fontId="10" fillId="2" borderId="22" xfId="0" applyNumberFormat="1" applyFont="1" applyFill="1" applyBorder="1" applyAlignment="1" applyProtection="1">
      <alignment horizontal="right" vertical="center" wrapText="1"/>
      <protection locked="0"/>
    </xf>
    <xf numFmtId="0" fontId="55" fillId="0" borderId="35" xfId="0" applyFont="1" applyFill="1" applyBorder="1" applyAlignment="1" applyProtection="1">
      <alignment horizontal="center" vertical="center"/>
      <protection hidden="1"/>
    </xf>
    <xf numFmtId="184" fontId="10" fillId="2" borderId="49" xfId="0" applyNumberFormat="1" applyFont="1" applyFill="1" applyBorder="1" applyAlignment="1" applyProtection="1">
      <alignment horizontal="right" vertical="center" wrapText="1"/>
      <protection locked="0"/>
    </xf>
    <xf numFmtId="184" fontId="3" fillId="16" borderId="107" xfId="6" applyNumberFormat="1" applyFont="1" applyFill="1" applyBorder="1" applyAlignment="1" applyProtection="1">
      <alignment vertical="center"/>
      <protection hidden="1"/>
    </xf>
    <xf numFmtId="0" fontId="3" fillId="17" borderId="0" xfId="6" applyFont="1" applyFill="1" applyBorder="1" applyAlignment="1" applyProtection="1">
      <alignment vertical="center"/>
    </xf>
    <xf numFmtId="3" fontId="3" fillId="2" borderId="52" xfId="6" applyNumberFormat="1" applyFont="1" applyFill="1" applyBorder="1" applyAlignment="1" applyProtection="1">
      <alignment horizontal="right" vertical="center"/>
      <protection locked="0"/>
    </xf>
    <xf numFmtId="0" fontId="10" fillId="15" borderId="0" xfId="11" applyFont="1" applyFill="1" applyProtection="1">
      <alignment vertical="center"/>
    </xf>
    <xf numFmtId="0" fontId="0" fillId="2" borderId="1" xfId="0" applyNumberFormat="1" applyFill="1" applyBorder="1" applyAlignment="1" applyProtection="1">
      <alignment horizontal="left" vertical="center"/>
      <protection locked="0"/>
    </xf>
    <xf numFmtId="0" fontId="10" fillId="17" borderId="19" xfId="6" applyFont="1" applyFill="1" applyBorder="1" applyAlignment="1" applyProtection="1">
      <alignment vertical="center" wrapText="1"/>
    </xf>
    <xf numFmtId="0" fontId="10" fillId="17" borderId="11" xfId="6" applyFont="1" applyFill="1" applyBorder="1" applyAlignment="1" applyProtection="1">
      <alignment vertical="center" wrapText="1"/>
    </xf>
    <xf numFmtId="0" fontId="8" fillId="17" borderId="21" xfId="6" applyFont="1" applyFill="1" applyBorder="1" applyAlignment="1" applyProtection="1">
      <alignment horizontal="right" vertical="center"/>
    </xf>
    <xf numFmtId="0" fontId="10" fillId="17" borderId="19" xfId="6" applyFont="1" applyFill="1" applyBorder="1" applyAlignment="1" applyProtection="1">
      <alignment horizontal="left" vertical="center" wrapText="1"/>
    </xf>
    <xf numFmtId="0" fontId="10" fillId="17" borderId="11" xfId="6" applyFont="1" applyFill="1" applyBorder="1" applyAlignment="1" applyProtection="1">
      <alignment horizontal="left" vertical="center" wrapText="1"/>
    </xf>
    <xf numFmtId="0" fontId="3" fillId="10" borderId="0" xfId="0" applyFont="1" applyFill="1" applyAlignment="1">
      <alignment horizontal="centerContinuous" vertical="center"/>
    </xf>
    <xf numFmtId="0" fontId="0" fillId="10" borderId="0" xfId="0" applyFill="1"/>
    <xf numFmtId="0" fontId="3" fillId="10" borderId="0" xfId="0" applyFont="1" applyFill="1"/>
    <xf numFmtId="0" fontId="10" fillId="0" borderId="0" xfId="14" applyFont="1" applyProtection="1">
      <alignment vertical="center"/>
    </xf>
    <xf numFmtId="0" fontId="10" fillId="4" borderId="107" xfId="31" applyFont="1" applyFill="1" applyBorder="1" applyAlignment="1" applyProtection="1">
      <alignment horizontal="center" vertical="center"/>
      <protection hidden="1"/>
    </xf>
    <xf numFmtId="0" fontId="10" fillId="4" borderId="130" xfId="31" applyFont="1" applyFill="1" applyBorder="1" applyAlignment="1" applyProtection="1">
      <alignment horizontal="center" vertical="center"/>
      <protection hidden="1"/>
    </xf>
    <xf numFmtId="0" fontId="3" fillId="4" borderId="130" xfId="31" applyFont="1" applyFill="1" applyBorder="1" applyAlignment="1" applyProtection="1">
      <alignment horizontal="center" vertical="center"/>
      <protection hidden="1"/>
    </xf>
    <xf numFmtId="0" fontId="3" fillId="4" borderId="59" xfId="31" applyFont="1" applyFill="1" applyBorder="1" applyAlignment="1" applyProtection="1">
      <alignment horizontal="center" vertical="center"/>
      <protection hidden="1"/>
    </xf>
    <xf numFmtId="0" fontId="14" fillId="4" borderId="34" xfId="31" applyFont="1" applyFill="1" applyBorder="1" applyAlignment="1" applyProtection="1">
      <alignment horizontal="center" vertical="center"/>
      <protection hidden="1"/>
    </xf>
    <xf numFmtId="0" fontId="8" fillId="4" borderId="133" xfId="31" applyFont="1" applyFill="1" applyBorder="1" applyAlignment="1" applyProtection="1">
      <alignment horizontal="center" vertical="center"/>
      <protection hidden="1"/>
    </xf>
    <xf numFmtId="0" fontId="8" fillId="4" borderId="51" xfId="31" applyFont="1" applyFill="1" applyBorder="1" applyAlignment="1" applyProtection="1">
      <alignment horizontal="center" vertical="center"/>
      <protection hidden="1"/>
    </xf>
    <xf numFmtId="0" fontId="10" fillId="21" borderId="128" xfId="31" applyFont="1" applyFill="1" applyBorder="1" applyAlignment="1" applyProtection="1">
      <alignment vertical="center"/>
      <protection hidden="1"/>
    </xf>
    <xf numFmtId="0" fontId="10" fillId="21" borderId="130" xfId="31" applyFont="1" applyFill="1" applyBorder="1" applyAlignment="1" applyProtection="1">
      <alignment vertical="center"/>
      <protection hidden="1"/>
    </xf>
    <xf numFmtId="0" fontId="15" fillId="0" borderId="107" xfId="31" applyFont="1" applyFill="1" applyBorder="1" applyAlignment="1" applyProtection="1">
      <alignment horizontal="center" vertical="center"/>
      <protection hidden="1"/>
    </xf>
    <xf numFmtId="0" fontId="17" fillId="0" borderId="107" xfId="31" applyFont="1" applyFill="1" applyBorder="1" applyAlignment="1" applyProtection="1">
      <alignment horizontal="center" vertical="center"/>
      <protection hidden="1"/>
    </xf>
    <xf numFmtId="0" fontId="17" fillId="0" borderId="107" xfId="31" applyFont="1" applyFill="1" applyBorder="1" applyProtection="1">
      <alignment vertical="center"/>
      <protection hidden="1"/>
    </xf>
    <xf numFmtId="0" fontId="17" fillId="0" borderId="34" xfId="31" applyFont="1" applyFill="1" applyBorder="1" applyProtection="1">
      <alignment vertical="center"/>
      <protection hidden="1"/>
    </xf>
    <xf numFmtId="0" fontId="17" fillId="0" borderId="133" xfId="31" applyFont="1" applyFill="1" applyBorder="1" applyProtection="1">
      <alignment vertical="center"/>
      <protection hidden="1"/>
    </xf>
    <xf numFmtId="0" fontId="17" fillId="0" borderId="51" xfId="31" applyFont="1" applyFill="1" applyBorder="1" applyProtection="1">
      <alignment vertical="center"/>
      <protection hidden="1"/>
    </xf>
    <xf numFmtId="0" fontId="15" fillId="22" borderId="107" xfId="31" applyFont="1" applyFill="1" applyBorder="1" applyAlignment="1" applyProtection="1">
      <alignment horizontal="center" vertical="center"/>
      <protection hidden="1"/>
    </xf>
    <xf numFmtId="0" fontId="17" fillId="22" borderId="107" xfId="31" applyFont="1" applyFill="1" applyBorder="1" applyAlignment="1" applyProtection="1">
      <alignment horizontal="center" vertical="center"/>
      <protection hidden="1"/>
    </xf>
    <xf numFmtId="0" fontId="17" fillId="22" borderId="107" xfId="31" applyFont="1" applyFill="1" applyBorder="1" applyProtection="1">
      <alignment vertical="center"/>
      <protection hidden="1"/>
    </xf>
    <xf numFmtId="0" fontId="17" fillId="22" borderId="34" xfId="31" applyFont="1" applyFill="1" applyBorder="1" applyProtection="1">
      <alignment vertical="center"/>
      <protection hidden="1"/>
    </xf>
    <xf numFmtId="0" fontId="17" fillId="22" borderId="133" xfId="31" applyFont="1" applyFill="1" applyBorder="1" applyProtection="1">
      <alignment vertical="center"/>
      <protection hidden="1"/>
    </xf>
    <xf numFmtId="0" fontId="17" fillId="22" borderId="51" xfId="31" applyFont="1" applyFill="1" applyBorder="1" applyProtection="1">
      <alignment vertical="center"/>
      <protection hidden="1"/>
    </xf>
    <xf numFmtId="0" fontId="10" fillId="0" borderId="130" xfId="31" applyFont="1" applyFill="1" applyBorder="1" applyAlignment="1" applyProtection="1">
      <alignment vertical="center"/>
      <protection hidden="1"/>
    </xf>
    <xf numFmtId="0" fontId="17" fillId="17" borderId="34" xfId="31" applyFont="1" applyFill="1" applyBorder="1" applyProtection="1">
      <alignment vertical="center"/>
      <protection hidden="1"/>
    </xf>
    <xf numFmtId="0" fontId="10" fillId="21" borderId="131" xfId="31" applyFont="1" applyFill="1" applyBorder="1" applyAlignment="1" applyProtection="1">
      <alignment vertical="center"/>
      <protection hidden="1"/>
    </xf>
    <xf numFmtId="0" fontId="10" fillId="21" borderId="107" xfId="31" applyFont="1" applyFill="1" applyBorder="1" applyAlignment="1" applyProtection="1">
      <alignment vertical="center"/>
      <protection hidden="1"/>
    </xf>
    <xf numFmtId="0" fontId="56" fillId="0" borderId="133" xfId="31" applyFont="1" applyFill="1" applyBorder="1" applyProtection="1">
      <alignment vertical="center"/>
      <protection hidden="1"/>
    </xf>
    <xf numFmtId="0" fontId="56" fillId="22" borderId="133" xfId="31" applyFont="1" applyFill="1" applyBorder="1" applyProtection="1">
      <alignment vertical="center"/>
      <protection hidden="1"/>
    </xf>
    <xf numFmtId="0" fontId="10" fillId="21" borderId="128" xfId="31" applyFont="1" applyFill="1" applyBorder="1" applyAlignment="1" applyProtection="1">
      <alignment vertical="center" wrapText="1"/>
      <protection hidden="1"/>
    </xf>
    <xf numFmtId="0" fontId="10" fillId="21" borderId="58" xfId="31" applyFont="1" applyFill="1" applyBorder="1" applyAlignment="1" applyProtection="1">
      <alignment vertical="center"/>
      <protection hidden="1"/>
    </xf>
    <xf numFmtId="0" fontId="10" fillId="21" borderId="58" xfId="31" applyFont="1" applyFill="1" applyBorder="1" applyAlignment="1" applyProtection="1">
      <alignment vertical="center" wrapText="1"/>
      <protection hidden="1"/>
    </xf>
    <xf numFmtId="0" fontId="10" fillId="0" borderId="58" xfId="31" applyFont="1" applyFill="1" applyBorder="1" applyAlignment="1" applyProtection="1">
      <alignment vertical="center"/>
      <protection hidden="1"/>
    </xf>
    <xf numFmtId="0" fontId="10" fillId="0" borderId="107" xfId="31" applyFont="1" applyFill="1" applyBorder="1" applyAlignment="1" applyProtection="1">
      <alignment vertical="center"/>
      <protection hidden="1"/>
    </xf>
    <xf numFmtId="0" fontId="10" fillId="0" borderId="59" xfId="31" applyFont="1" applyFill="1" applyBorder="1" applyAlignment="1" applyProtection="1">
      <alignment vertical="center"/>
      <protection hidden="1"/>
    </xf>
    <xf numFmtId="0" fontId="10" fillId="0" borderId="131" xfId="31" applyFont="1" applyFill="1" applyBorder="1" applyAlignment="1" applyProtection="1">
      <alignment vertical="center"/>
      <protection hidden="1"/>
    </xf>
    <xf numFmtId="0" fontId="10" fillId="21" borderId="59" xfId="31" applyFont="1" applyFill="1" applyBorder="1" applyAlignment="1" applyProtection="1">
      <alignment vertical="center" wrapText="1"/>
      <protection hidden="1"/>
    </xf>
    <xf numFmtId="0" fontId="10" fillId="21" borderId="131" xfId="31" applyFont="1" applyFill="1" applyBorder="1" applyAlignment="1" applyProtection="1">
      <alignment vertical="center" wrapText="1"/>
      <protection hidden="1"/>
    </xf>
    <xf numFmtId="0" fontId="10" fillId="0" borderId="58" xfId="31" applyFont="1" applyFill="1" applyBorder="1" applyAlignment="1" applyProtection="1">
      <alignment vertical="center" wrapText="1"/>
      <protection hidden="1"/>
    </xf>
    <xf numFmtId="0" fontId="10" fillId="0" borderId="128" xfId="31" applyFont="1" applyFill="1" applyBorder="1" applyAlignment="1" applyProtection="1">
      <alignment vertical="center"/>
      <protection hidden="1"/>
    </xf>
    <xf numFmtId="0" fontId="15" fillId="0" borderId="59" xfId="31" applyFont="1" applyFill="1" applyBorder="1" applyAlignment="1" applyProtection="1">
      <alignment horizontal="center" vertical="center"/>
      <protection hidden="1"/>
    </xf>
    <xf numFmtId="0" fontId="17" fillId="0" borderId="59" xfId="31" applyFont="1" applyFill="1" applyBorder="1" applyAlignment="1" applyProtection="1">
      <alignment horizontal="center" vertical="center"/>
      <protection hidden="1"/>
    </xf>
    <xf numFmtId="0" fontId="17" fillId="0" borderId="59" xfId="31" applyFont="1" applyFill="1" applyBorder="1" applyProtection="1">
      <alignment vertical="center"/>
      <protection hidden="1"/>
    </xf>
    <xf numFmtId="0" fontId="17" fillId="0" borderId="13" xfId="31" applyFont="1" applyFill="1" applyBorder="1" applyProtection="1">
      <alignment vertical="center"/>
      <protection hidden="1"/>
    </xf>
    <xf numFmtId="0" fontId="17" fillId="0" borderId="67" xfId="31" applyFont="1" applyFill="1" applyBorder="1" applyProtection="1">
      <alignment vertical="center"/>
      <protection hidden="1"/>
    </xf>
    <xf numFmtId="0" fontId="10" fillId="0" borderId="107" xfId="31" applyFont="1" applyFill="1" applyBorder="1" applyAlignment="1" applyProtection="1">
      <alignment horizontal="left" vertical="center"/>
      <protection hidden="1"/>
    </xf>
    <xf numFmtId="0" fontId="10" fillId="0" borderId="59" xfId="0" applyFont="1" applyFill="1" applyBorder="1" applyAlignment="1" applyProtection="1">
      <alignment horizontal="center" vertical="center"/>
      <protection hidden="1"/>
    </xf>
    <xf numFmtId="0" fontId="10" fillId="0" borderId="107" xfId="0" applyFont="1" applyFill="1" applyBorder="1" applyAlignment="1" applyProtection="1">
      <alignment horizontal="left" vertical="center"/>
      <protection hidden="1"/>
    </xf>
    <xf numFmtId="0" fontId="15" fillId="0" borderId="130" xfId="31" applyFont="1" applyFill="1" applyBorder="1" applyAlignment="1" applyProtection="1">
      <alignment horizontal="center" vertical="center"/>
      <protection hidden="1"/>
    </xf>
    <xf numFmtId="0" fontId="10" fillId="0" borderId="135" xfId="0" applyFont="1" applyFill="1" applyBorder="1" applyAlignment="1" applyProtection="1">
      <alignment horizontal="center" vertical="center"/>
      <protection hidden="1"/>
    </xf>
    <xf numFmtId="0" fontId="10" fillId="0" borderId="58" xfId="0" applyFont="1" applyFill="1" applyBorder="1" applyAlignment="1" applyProtection="1">
      <alignment horizontal="center" vertical="center" textRotation="255"/>
      <protection hidden="1"/>
    </xf>
    <xf numFmtId="0" fontId="73" fillId="0" borderId="59" xfId="31" applyFont="1" applyFill="1" applyBorder="1" applyAlignment="1" applyProtection="1">
      <alignment vertical="center"/>
      <protection hidden="1"/>
    </xf>
    <xf numFmtId="0" fontId="10" fillId="0" borderId="58" xfId="0" applyFont="1" applyFill="1" applyBorder="1" applyAlignment="1" applyProtection="1">
      <alignment horizontal="center" vertical="center"/>
      <protection hidden="1"/>
    </xf>
    <xf numFmtId="0" fontId="10" fillId="0" borderId="59" xfId="31" applyFont="1" applyFill="1" applyBorder="1" applyAlignment="1" applyProtection="1">
      <alignment horizontal="left" vertical="center"/>
      <protection hidden="1"/>
    </xf>
    <xf numFmtId="0" fontId="10" fillId="0" borderId="0" xfId="31" applyFont="1" applyFill="1" applyBorder="1" applyAlignment="1" applyProtection="1">
      <alignment vertical="center"/>
      <protection hidden="1"/>
    </xf>
    <xf numFmtId="0" fontId="15" fillId="0" borderId="0" xfId="31" applyFont="1" applyFill="1" applyBorder="1" applyAlignment="1" applyProtection="1">
      <alignment horizontal="center" vertical="center"/>
      <protection hidden="1"/>
    </xf>
    <xf numFmtId="0" fontId="17" fillId="0" borderId="0" xfId="31" applyFont="1" applyFill="1" applyBorder="1" applyAlignment="1" applyProtection="1">
      <alignment horizontal="center" vertical="center"/>
      <protection hidden="1"/>
    </xf>
    <xf numFmtId="0" fontId="17" fillId="0" borderId="0" xfId="31" applyFont="1" applyFill="1" applyBorder="1" applyProtection="1">
      <alignment vertical="center"/>
      <protection hidden="1"/>
    </xf>
    <xf numFmtId="0" fontId="10" fillId="0" borderId="0" xfId="31" applyFont="1" applyFill="1" applyBorder="1" applyAlignment="1" applyProtection="1">
      <alignment horizontal="left" vertical="center"/>
      <protection hidden="1"/>
    </xf>
    <xf numFmtId="0" fontId="10" fillId="0" borderId="0" xfId="31" applyFont="1" applyFill="1" applyBorder="1" applyAlignment="1" applyProtection="1">
      <alignment horizontal="center" vertical="center"/>
      <protection hidden="1"/>
    </xf>
    <xf numFmtId="0" fontId="30" fillId="0" borderId="0" xfId="31" applyFont="1" applyFill="1" applyBorder="1" applyAlignment="1" applyProtection="1">
      <alignment horizontal="center" vertical="center"/>
      <protection hidden="1"/>
    </xf>
    <xf numFmtId="0" fontId="56" fillId="0" borderId="0" xfId="31" applyFont="1" applyFill="1" applyBorder="1" applyProtection="1">
      <alignment vertical="center"/>
      <protection hidden="1"/>
    </xf>
    <xf numFmtId="0" fontId="74" fillId="0" borderId="0" xfId="0" applyFont="1" applyFill="1" applyBorder="1" applyAlignment="1" applyProtection="1">
      <alignment horizontal="center" vertical="center" textRotation="255"/>
      <protection hidden="1"/>
    </xf>
    <xf numFmtId="0" fontId="75" fillId="0" borderId="0" xfId="0" applyFont="1" applyFill="1" applyBorder="1" applyAlignment="1" applyProtection="1">
      <alignment vertical="center"/>
      <protection hidden="1"/>
    </xf>
    <xf numFmtId="0" fontId="10" fillId="0" borderId="0" xfId="14" applyFont="1" applyFill="1" applyBorder="1" applyProtection="1">
      <alignment vertical="center"/>
    </xf>
    <xf numFmtId="0" fontId="10" fillId="0" borderId="3" xfId="31" applyFont="1" applyFill="1" applyBorder="1" applyAlignment="1" applyProtection="1">
      <alignment vertical="center" wrapText="1"/>
      <protection hidden="1"/>
    </xf>
    <xf numFmtId="0" fontId="3" fillId="16" borderId="38" xfId="9" applyFont="1" applyFill="1" applyBorder="1" applyAlignment="1" applyProtection="1">
      <alignment horizontal="center" vertical="center"/>
    </xf>
    <xf numFmtId="0" fontId="0" fillId="0" borderId="7" xfId="0" applyFont="1" applyFill="1" applyBorder="1" applyAlignment="1" applyProtection="1">
      <alignment vertical="center"/>
    </xf>
    <xf numFmtId="0" fontId="3" fillId="16" borderId="38" xfId="9" applyFont="1" applyFill="1" applyBorder="1" applyAlignment="1" applyProtection="1">
      <alignment horizontal="center" vertical="center" shrinkToFit="1"/>
    </xf>
    <xf numFmtId="0" fontId="28" fillId="10" borderId="6" xfId="0" applyFont="1" applyFill="1" applyBorder="1" applyAlignment="1">
      <alignment vertical="center"/>
    </xf>
    <xf numFmtId="0" fontId="28" fillId="10" borderId="15" xfId="0" applyFont="1" applyFill="1" applyBorder="1" applyAlignment="1">
      <alignment vertical="center"/>
    </xf>
    <xf numFmtId="0" fontId="28" fillId="10" borderId="31" xfId="0" applyFont="1" applyFill="1" applyBorder="1" applyAlignment="1">
      <alignment horizontal="center" vertical="center"/>
    </xf>
    <xf numFmtId="0" fontId="16" fillId="10" borderId="35" xfId="0" applyFont="1" applyFill="1" applyBorder="1" applyAlignment="1" applyProtection="1">
      <alignment horizontal="center" vertical="center"/>
      <protection hidden="1"/>
    </xf>
    <xf numFmtId="0" fontId="10" fillId="10" borderId="31" xfId="0" applyFont="1" applyFill="1" applyBorder="1" applyAlignment="1" applyProtection="1">
      <alignment horizontal="left" vertical="center"/>
      <protection locked="0"/>
    </xf>
    <xf numFmtId="0" fontId="9" fillId="10" borderId="14" xfId="0" applyFont="1" applyFill="1" applyBorder="1" applyAlignment="1">
      <alignment vertical="center"/>
    </xf>
    <xf numFmtId="0" fontId="9" fillId="10" borderId="12" xfId="0" applyFont="1" applyFill="1" applyBorder="1" applyAlignment="1">
      <alignment vertical="center"/>
    </xf>
    <xf numFmtId="0" fontId="9" fillId="10" borderId="22" xfId="0" applyFont="1" applyFill="1" applyBorder="1" applyAlignment="1">
      <alignment horizontal="center" vertical="center"/>
    </xf>
    <xf numFmtId="0" fontId="15" fillId="10" borderId="36" xfId="9" applyFont="1" applyFill="1" applyBorder="1" applyAlignment="1" applyProtection="1">
      <alignment horizontal="center" vertical="center"/>
      <protection hidden="1"/>
    </xf>
    <xf numFmtId="0" fontId="10" fillId="10" borderId="21" xfId="0" applyFont="1" applyFill="1" applyBorder="1" applyAlignment="1" applyProtection="1">
      <alignment horizontal="left" vertical="center"/>
      <protection locked="0"/>
    </xf>
    <xf numFmtId="0" fontId="7" fillId="10" borderId="43" xfId="0" applyFont="1" applyFill="1" applyBorder="1" applyAlignment="1">
      <alignment vertical="center"/>
    </xf>
    <xf numFmtId="0" fontId="7" fillId="10" borderId="4" xfId="0" applyFont="1" applyFill="1" applyBorder="1" applyAlignment="1">
      <alignment vertical="center"/>
    </xf>
    <xf numFmtId="0" fontId="17" fillId="10" borderId="5" xfId="0" applyFont="1" applyFill="1" applyBorder="1" applyAlignment="1">
      <alignment horizontal="center" vertical="center"/>
    </xf>
    <xf numFmtId="0" fontId="15" fillId="10" borderId="48" xfId="9" applyFont="1" applyFill="1" applyBorder="1" applyAlignment="1" applyProtection="1">
      <alignment horizontal="center" vertical="center"/>
      <protection hidden="1"/>
    </xf>
    <xf numFmtId="0" fontId="10" fillId="10" borderId="20" xfId="0" applyFont="1" applyFill="1" applyBorder="1" applyAlignment="1" applyProtection="1">
      <alignment horizontal="left" vertical="center"/>
      <protection locked="0"/>
    </xf>
    <xf numFmtId="0" fontId="7" fillId="10" borderId="13" xfId="0" applyFont="1" applyFill="1" applyBorder="1" applyAlignment="1">
      <alignment vertical="center"/>
    </xf>
    <xf numFmtId="0" fontId="7" fillId="10" borderId="19" xfId="0" applyFont="1" applyFill="1" applyBorder="1" applyAlignment="1">
      <alignment vertical="center"/>
    </xf>
    <xf numFmtId="0" fontId="17" fillId="10" borderId="21" xfId="0" applyFont="1" applyFill="1" applyBorder="1" applyAlignment="1">
      <alignment horizontal="center" vertical="center"/>
    </xf>
    <xf numFmtId="0" fontId="7" fillId="10" borderId="8" xfId="0" applyFont="1" applyFill="1" applyBorder="1" applyAlignment="1">
      <alignment vertical="center"/>
    </xf>
    <xf numFmtId="0" fontId="17" fillId="10" borderId="20" xfId="0" applyFont="1" applyFill="1" applyBorder="1" applyAlignment="1">
      <alignment horizontal="center" vertical="center"/>
    </xf>
    <xf numFmtId="0" fontId="16" fillId="10" borderId="13" xfId="0" applyFont="1" applyFill="1" applyBorder="1" applyAlignment="1" applyProtection="1">
      <alignment horizontal="center" vertical="center"/>
      <protection hidden="1"/>
    </xf>
    <xf numFmtId="0" fontId="8" fillId="10" borderId="20" xfId="0" applyFont="1" applyFill="1" applyBorder="1" applyAlignment="1" applyProtection="1">
      <alignment horizontal="left" vertical="center"/>
      <protection locked="0"/>
    </xf>
    <xf numFmtId="0" fontId="10" fillId="0" borderId="45" xfId="9" applyFont="1" applyFill="1" applyBorder="1" applyAlignment="1">
      <alignment horizontal="right" vertical="center"/>
    </xf>
    <xf numFmtId="0" fontId="10" fillId="0" borderId="8" xfId="11" applyFont="1" applyFill="1" applyBorder="1" applyAlignment="1" applyProtection="1">
      <alignment horizontal="left" vertical="center"/>
    </xf>
    <xf numFmtId="49" fontId="0" fillId="0" borderId="6" xfId="0" applyNumberFormat="1" applyFont="1" applyBorder="1" applyAlignment="1">
      <alignment horizontal="center" vertical="center"/>
    </xf>
    <xf numFmtId="0" fontId="0" fillId="0" borderId="5" xfId="0" applyFont="1" applyBorder="1" applyAlignment="1">
      <alignment vertical="center"/>
    </xf>
    <xf numFmtId="49" fontId="0" fillId="0" borderId="131" xfId="0" applyNumberFormat="1" applyFont="1" applyBorder="1" applyAlignment="1">
      <alignment horizontal="center" vertical="center"/>
    </xf>
    <xf numFmtId="0" fontId="0" fillId="0" borderId="31" xfId="0" applyFont="1" applyBorder="1" applyAlignment="1">
      <alignment vertical="center"/>
    </xf>
    <xf numFmtId="49" fontId="0" fillId="0" borderId="14" xfId="0" applyNumberFormat="1" applyFont="1" applyFill="1" applyBorder="1" applyAlignment="1">
      <alignment horizontal="center" vertical="center"/>
    </xf>
    <xf numFmtId="49" fontId="0" fillId="0" borderId="10" xfId="0" applyNumberFormat="1" applyFont="1" applyBorder="1" applyAlignment="1">
      <alignment horizontal="center" vertical="center"/>
    </xf>
    <xf numFmtId="0" fontId="0" fillId="0" borderId="10" xfId="0" applyFont="1" applyFill="1" applyBorder="1" applyAlignment="1">
      <alignment vertical="center"/>
    </xf>
    <xf numFmtId="0" fontId="0" fillId="0" borderId="22" xfId="0" applyFont="1" applyFill="1" applyBorder="1" applyAlignment="1">
      <alignment vertical="center"/>
    </xf>
    <xf numFmtId="49" fontId="0" fillId="0" borderId="13" xfId="0" applyNumberFormat="1" applyFont="1" applyFill="1" applyBorder="1" applyAlignment="1">
      <alignment horizontal="center" vertical="center"/>
    </xf>
    <xf numFmtId="49" fontId="0" fillId="0" borderId="11" xfId="0" applyNumberFormat="1" applyFont="1" applyBorder="1" applyAlignment="1">
      <alignment horizontal="center" vertical="center"/>
    </xf>
    <xf numFmtId="0" fontId="0" fillId="0" borderId="11" xfId="0" applyFont="1" applyBorder="1" applyAlignment="1">
      <alignment vertical="center"/>
    </xf>
    <xf numFmtId="0" fontId="0" fillId="0" borderId="11" xfId="0" applyFont="1" applyFill="1" applyBorder="1" applyAlignment="1">
      <alignment vertical="center"/>
    </xf>
    <xf numFmtId="0" fontId="0" fillId="0" borderId="21" xfId="0" applyFont="1" applyFill="1" applyBorder="1" applyAlignment="1">
      <alignment vertical="center"/>
    </xf>
    <xf numFmtId="49" fontId="0" fillId="0" borderId="8" xfId="0" applyNumberFormat="1" applyFont="1" applyBorder="1" applyAlignment="1">
      <alignment horizontal="center" vertical="center"/>
    </xf>
    <xf numFmtId="49" fontId="0" fillId="0" borderId="16" xfId="0" applyNumberFormat="1" applyFont="1" applyBorder="1" applyAlignment="1">
      <alignment horizontal="center" vertical="center"/>
    </xf>
    <xf numFmtId="0" fontId="0" fillId="0" borderId="16" xfId="0" applyFont="1" applyFill="1" applyBorder="1" applyAlignment="1">
      <alignment vertical="center"/>
    </xf>
    <xf numFmtId="0" fontId="0" fillId="0" borderId="72" xfId="0" applyFont="1" applyFill="1" applyBorder="1" applyAlignment="1">
      <alignment vertical="center"/>
    </xf>
    <xf numFmtId="0" fontId="3" fillId="0" borderId="7" xfId="0" applyFont="1" applyBorder="1" applyAlignment="1" applyProtection="1">
      <alignment horizontal="center" vertical="center"/>
      <protection hidden="1"/>
    </xf>
    <xf numFmtId="185" fontId="10" fillId="0" borderId="0" xfId="0" applyNumberFormat="1" applyFont="1" applyBorder="1" applyAlignment="1">
      <alignment vertical="center"/>
    </xf>
    <xf numFmtId="0" fontId="23" fillId="0" borderId="0" xfId="0" applyFont="1" applyBorder="1" applyAlignment="1" applyProtection="1">
      <alignment horizontal="left" vertical="center"/>
      <protection hidden="1"/>
    </xf>
    <xf numFmtId="0" fontId="21" fillId="0" borderId="140" xfId="0" applyFont="1" applyBorder="1" applyAlignment="1" applyProtection="1">
      <alignment vertical="center"/>
      <protection hidden="1"/>
    </xf>
    <xf numFmtId="0" fontId="33" fillId="0" borderId="0" xfId="0" applyFont="1" applyFill="1" applyBorder="1" applyAlignment="1" applyProtection="1">
      <alignment vertical="center"/>
      <protection hidden="1"/>
    </xf>
    <xf numFmtId="0" fontId="10" fillId="0" borderId="0" xfId="0" applyFont="1" applyFill="1" applyBorder="1" applyAlignment="1">
      <alignment horizontal="center" vertical="center" wrapText="1"/>
    </xf>
    <xf numFmtId="49" fontId="10" fillId="0" borderId="0" xfId="0" applyNumberFormat="1" applyFont="1" applyFill="1" applyBorder="1" applyAlignment="1" applyProtection="1">
      <alignment horizontal="center" vertical="center"/>
      <protection hidden="1"/>
    </xf>
    <xf numFmtId="49" fontId="10" fillId="0" borderId="0" xfId="0" applyNumberFormat="1" applyFont="1" applyFill="1" applyBorder="1" applyAlignment="1" applyProtection="1">
      <alignment horizontal="right" vertical="center"/>
      <protection hidden="1"/>
    </xf>
    <xf numFmtId="49" fontId="26" fillId="0" borderId="0" xfId="0" applyNumberFormat="1" applyFont="1" applyFill="1" applyBorder="1" applyAlignment="1" applyProtection="1">
      <alignment horizontal="right" vertical="center"/>
      <protection hidden="1"/>
    </xf>
    <xf numFmtId="0" fontId="26" fillId="0" borderId="0" xfId="0" applyFont="1" applyFill="1" applyBorder="1" applyAlignment="1">
      <alignment vertical="center"/>
    </xf>
    <xf numFmtId="49" fontId="10" fillId="0" borderId="0" xfId="0" applyNumberFormat="1" applyFont="1" applyFill="1" applyBorder="1" applyAlignment="1" applyProtection="1">
      <alignment horizontal="left" vertical="center"/>
      <protection hidden="1"/>
    </xf>
    <xf numFmtId="49" fontId="15" fillId="0" borderId="0" xfId="0" applyNumberFormat="1" applyFont="1" applyFill="1" applyBorder="1" applyAlignment="1" applyProtection="1">
      <alignment vertical="center"/>
      <protection hidden="1"/>
    </xf>
    <xf numFmtId="0" fontId="52" fillId="0" borderId="0" xfId="0" applyFont="1" applyAlignment="1" applyProtection="1">
      <alignment vertical="center"/>
      <protection hidden="1"/>
    </xf>
    <xf numFmtId="0" fontId="37" fillId="0" borderId="7" xfId="0" applyFont="1" applyBorder="1" applyAlignment="1" applyProtection="1">
      <alignment horizontal="center" vertical="center"/>
      <protection hidden="1"/>
    </xf>
    <xf numFmtId="0" fontId="23" fillId="0" borderId="109" xfId="0" applyFont="1" applyBorder="1" applyAlignment="1" applyProtection="1">
      <alignment horizontal="center" vertical="center"/>
      <protection hidden="1"/>
    </xf>
    <xf numFmtId="0" fontId="23" fillId="0" borderId="20" xfId="0" applyFont="1" applyBorder="1" applyAlignment="1" applyProtection="1">
      <alignment vertical="center"/>
      <protection hidden="1"/>
    </xf>
    <xf numFmtId="0" fontId="10" fillId="0" borderId="112" xfId="0" applyFont="1" applyBorder="1" applyAlignment="1" applyProtection="1">
      <alignment horizontal="right" vertical="center"/>
      <protection hidden="1"/>
    </xf>
    <xf numFmtId="0" fontId="10" fillId="0" borderId="20" xfId="0" applyFont="1" applyBorder="1" applyAlignment="1" applyProtection="1">
      <alignment horizontal="right" vertical="center"/>
      <protection hidden="1"/>
    </xf>
    <xf numFmtId="0" fontId="3" fillId="23" borderId="144" xfId="14" applyFill="1" applyBorder="1" applyAlignment="1">
      <alignment horizontal="center" vertical="center" wrapText="1"/>
    </xf>
    <xf numFmtId="0" fontId="3" fillId="23" borderId="145" xfId="14" applyFill="1" applyBorder="1" applyAlignment="1">
      <alignment horizontal="center" vertical="center"/>
    </xf>
    <xf numFmtId="38" fontId="10" fillId="0" borderId="140" xfId="0" applyNumberFormat="1" applyFont="1" applyBorder="1" applyAlignment="1" applyProtection="1">
      <alignment vertical="center"/>
      <protection hidden="1"/>
    </xf>
    <xf numFmtId="38" fontId="10" fillId="0" borderId="148" xfId="0" applyNumberFormat="1" applyFont="1" applyBorder="1" applyAlignment="1" applyProtection="1">
      <alignment vertical="center"/>
      <protection hidden="1"/>
    </xf>
    <xf numFmtId="49" fontId="10" fillId="0" borderId="149" xfId="0" applyNumberFormat="1" applyFont="1" applyBorder="1" applyAlignment="1" applyProtection="1">
      <alignment horizontal="center" vertical="center"/>
      <protection hidden="1"/>
    </xf>
    <xf numFmtId="49" fontId="10" fillId="0" borderId="150" xfId="0" applyNumberFormat="1" applyFont="1" applyBorder="1" applyAlignment="1" applyProtection="1">
      <alignment vertical="center"/>
      <protection hidden="1"/>
    </xf>
    <xf numFmtId="49" fontId="10" fillId="0" borderId="151" xfId="0" applyNumberFormat="1" applyFont="1" applyBorder="1" applyAlignment="1" applyProtection="1">
      <alignment vertical="center"/>
      <protection hidden="1"/>
    </xf>
    <xf numFmtId="0" fontId="10" fillId="0" borderId="152" xfId="0" applyFont="1" applyBorder="1" applyAlignment="1" applyProtection="1">
      <alignment vertical="center"/>
      <protection hidden="1"/>
    </xf>
    <xf numFmtId="38" fontId="10" fillId="0" borderId="153" xfId="0" applyNumberFormat="1" applyFont="1" applyBorder="1" applyAlignment="1" applyProtection="1">
      <alignment vertical="center"/>
      <protection hidden="1"/>
    </xf>
    <xf numFmtId="49" fontId="10" fillId="0" borderId="136" xfId="0" applyNumberFormat="1" applyFont="1" applyBorder="1" applyAlignment="1" applyProtection="1">
      <alignment vertical="center"/>
      <protection hidden="1"/>
    </xf>
    <xf numFmtId="49" fontId="10" fillId="0" borderId="8" xfId="0" applyNumberFormat="1" applyFont="1" applyBorder="1" applyAlignment="1" applyProtection="1">
      <alignment horizontal="center" vertical="center"/>
      <protection hidden="1"/>
    </xf>
    <xf numFmtId="49" fontId="10" fillId="0" borderId="2" xfId="0" applyNumberFormat="1" applyFont="1" applyBorder="1" applyAlignment="1" applyProtection="1">
      <alignment vertical="center"/>
      <protection hidden="1"/>
    </xf>
    <xf numFmtId="49" fontId="10" fillId="0" borderId="109" xfId="0" applyNumberFormat="1" applyFont="1" applyBorder="1" applyAlignment="1" applyProtection="1">
      <alignment vertical="center"/>
      <protection hidden="1"/>
    </xf>
    <xf numFmtId="0" fontId="10" fillId="0" borderId="112" xfId="0" applyFont="1" applyBorder="1" applyAlignment="1" applyProtection="1">
      <alignment vertical="center"/>
      <protection hidden="1"/>
    </xf>
    <xf numFmtId="38" fontId="10" fillId="0" borderId="154" xfId="0" applyNumberFormat="1" applyFont="1" applyBorder="1" applyAlignment="1" applyProtection="1">
      <alignment vertical="center"/>
      <protection hidden="1"/>
    </xf>
    <xf numFmtId="49" fontId="10" fillId="0" borderId="131" xfId="0" applyNumberFormat="1" applyFont="1" applyBorder="1" applyAlignment="1" applyProtection="1">
      <alignment horizontal="center" vertical="center"/>
      <protection hidden="1"/>
    </xf>
    <xf numFmtId="49" fontId="10" fillId="0" borderId="58" xfId="0" applyNumberFormat="1" applyFont="1" applyBorder="1" applyAlignment="1" applyProtection="1">
      <alignment horizontal="center" vertical="center"/>
      <protection hidden="1"/>
    </xf>
    <xf numFmtId="49" fontId="10" fillId="0" borderId="29"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vertical="center"/>
      <protection hidden="1"/>
    </xf>
    <xf numFmtId="0" fontId="10" fillId="0" borderId="31" xfId="0" applyFont="1" applyBorder="1" applyAlignment="1" applyProtection="1">
      <alignment vertical="center"/>
      <protection hidden="1"/>
    </xf>
    <xf numFmtId="38" fontId="10" fillId="0" borderId="155" xfId="0" applyNumberFormat="1" applyFont="1" applyBorder="1" applyAlignment="1" applyProtection="1">
      <alignment vertical="center"/>
      <protection hidden="1"/>
    </xf>
    <xf numFmtId="49" fontId="10" fillId="0" borderId="39" xfId="0" applyNumberFormat="1" applyFont="1" applyBorder="1" applyAlignment="1" applyProtection="1">
      <alignment horizontal="center" vertical="center"/>
      <protection hidden="1"/>
    </xf>
    <xf numFmtId="49" fontId="10" fillId="0" borderId="10" xfId="0" applyNumberFormat="1" applyFont="1" applyBorder="1" applyAlignment="1" applyProtection="1">
      <alignment vertical="center"/>
      <protection hidden="1"/>
    </xf>
    <xf numFmtId="0" fontId="10" fillId="0" borderId="22" xfId="0" applyFont="1" applyBorder="1" applyAlignment="1" applyProtection="1">
      <alignment vertical="center"/>
      <protection hidden="1"/>
    </xf>
    <xf numFmtId="38" fontId="10" fillId="0" borderId="156" xfId="0" applyNumberFormat="1" applyFont="1" applyBorder="1" applyAlignment="1" applyProtection="1">
      <alignment vertical="center"/>
      <protection hidden="1"/>
    </xf>
    <xf numFmtId="49" fontId="10" fillId="0" borderId="18" xfId="0" applyNumberFormat="1" applyFont="1" applyBorder="1" applyAlignment="1" applyProtection="1">
      <alignment horizontal="center" vertical="center"/>
      <protection hidden="1"/>
    </xf>
    <xf numFmtId="49" fontId="10" fillId="0" borderId="9" xfId="0" applyNumberFormat="1" applyFont="1" applyBorder="1" applyAlignment="1" applyProtection="1">
      <alignment vertical="center"/>
      <protection hidden="1"/>
    </xf>
    <xf numFmtId="49" fontId="10" fillId="0" borderId="17" xfId="0" applyNumberFormat="1" applyFont="1" applyBorder="1" applyAlignment="1" applyProtection="1">
      <alignment vertical="center"/>
      <protection hidden="1"/>
    </xf>
    <xf numFmtId="38" fontId="10" fillId="0" borderId="157" xfId="0" applyNumberFormat="1" applyFont="1" applyBorder="1" applyAlignment="1" applyProtection="1">
      <alignment vertical="center"/>
      <protection hidden="1"/>
    </xf>
    <xf numFmtId="49" fontId="10" fillId="0" borderId="3" xfId="0" applyNumberFormat="1" applyFont="1" applyBorder="1" applyAlignment="1" applyProtection="1">
      <alignment horizontal="center" vertical="center"/>
      <protection hidden="1"/>
    </xf>
    <xf numFmtId="49" fontId="10" fillId="0" borderId="30" xfId="0" applyNumberFormat="1" applyFont="1" applyBorder="1" applyAlignment="1" applyProtection="1">
      <alignment horizontal="center" vertical="center"/>
      <protection hidden="1"/>
    </xf>
    <xf numFmtId="49" fontId="10" fillId="0" borderId="11" xfId="0" applyNumberFormat="1" applyFont="1" applyBorder="1" applyAlignment="1" applyProtection="1">
      <alignment vertical="center"/>
      <protection hidden="1"/>
    </xf>
    <xf numFmtId="0" fontId="10" fillId="0" borderId="21" xfId="0" applyFont="1" applyBorder="1" applyAlignment="1" applyProtection="1">
      <alignment vertical="center"/>
      <protection hidden="1"/>
    </xf>
    <xf numFmtId="38" fontId="10" fillId="0" borderId="138" xfId="0" applyNumberFormat="1" applyFont="1" applyBorder="1" applyAlignment="1" applyProtection="1">
      <alignment vertical="center"/>
      <protection hidden="1"/>
    </xf>
    <xf numFmtId="38" fontId="10" fillId="0" borderId="141" xfId="0" applyNumberFormat="1" applyFont="1" applyBorder="1" applyAlignment="1" applyProtection="1">
      <alignment vertical="center"/>
      <protection hidden="1"/>
    </xf>
    <xf numFmtId="49" fontId="10" fillId="0" borderId="109" xfId="0" applyNumberFormat="1" applyFont="1" applyBorder="1" applyAlignment="1" applyProtection="1">
      <alignment horizontal="center" vertical="center"/>
      <protection hidden="1"/>
    </xf>
    <xf numFmtId="49" fontId="10" fillId="0" borderId="10" xfId="0" applyNumberFormat="1" applyFont="1" applyBorder="1" applyAlignment="1" applyProtection="1">
      <alignment horizontal="center" vertical="center"/>
      <protection hidden="1"/>
    </xf>
    <xf numFmtId="49" fontId="10" fillId="0" borderId="137" xfId="0" applyNumberFormat="1" applyFont="1" applyBorder="1" applyAlignment="1" applyProtection="1">
      <alignment vertical="center"/>
      <protection hidden="1"/>
    </xf>
    <xf numFmtId="49" fontId="10" fillId="0" borderId="59" xfId="0" applyNumberFormat="1" applyFont="1" applyBorder="1" applyAlignment="1" applyProtection="1">
      <alignment horizontal="center" vertical="center"/>
      <protection hidden="1"/>
    </xf>
    <xf numFmtId="49" fontId="10" fillId="0" borderId="17" xfId="0" applyNumberFormat="1" applyFont="1" applyBorder="1" applyAlignment="1" applyProtection="1">
      <alignment horizontal="center" vertical="center"/>
      <protection hidden="1"/>
    </xf>
    <xf numFmtId="49" fontId="10" fillId="0" borderId="158" xfId="0" applyNumberFormat="1" applyFont="1" applyBorder="1" applyAlignment="1" applyProtection="1">
      <alignment horizontal="center" vertical="center"/>
      <protection hidden="1"/>
    </xf>
    <xf numFmtId="38" fontId="10" fillId="0" borderId="159" xfId="0" applyNumberFormat="1" applyFont="1" applyBorder="1" applyAlignment="1" applyProtection="1">
      <alignment vertical="center"/>
      <protection hidden="1"/>
    </xf>
    <xf numFmtId="49" fontId="10" fillId="0" borderId="3" xfId="0" applyNumberFormat="1" applyFont="1" applyBorder="1" applyAlignment="1" applyProtection="1">
      <alignment vertical="center"/>
      <protection hidden="1"/>
    </xf>
    <xf numFmtId="38" fontId="10" fillId="0" borderId="160" xfId="0" applyNumberFormat="1" applyFont="1" applyBorder="1" applyAlignment="1" applyProtection="1">
      <alignment vertical="center"/>
      <protection hidden="1"/>
    </xf>
    <xf numFmtId="204" fontId="10" fillId="0" borderId="12" xfId="0" applyNumberFormat="1" applyFont="1" applyBorder="1" applyAlignment="1" applyProtection="1">
      <alignment horizontal="right" vertical="center"/>
      <protection hidden="1"/>
    </xf>
    <xf numFmtId="38" fontId="10" fillId="0" borderId="161" xfId="0" applyNumberFormat="1" applyFont="1" applyBorder="1" applyAlignment="1" applyProtection="1">
      <alignment vertical="center"/>
      <protection hidden="1"/>
    </xf>
    <xf numFmtId="49" fontId="10" fillId="0" borderId="71" xfId="0" applyNumberFormat="1" applyFont="1" applyBorder="1" applyAlignment="1" applyProtection="1">
      <alignment horizontal="center" vertical="center"/>
      <protection hidden="1"/>
    </xf>
    <xf numFmtId="49" fontId="10" fillId="0" borderId="16" xfId="0" applyNumberFormat="1" applyFont="1" applyBorder="1" applyAlignment="1" applyProtection="1">
      <alignment vertical="center"/>
      <protection hidden="1"/>
    </xf>
    <xf numFmtId="0" fontId="10" fillId="0" borderId="72" xfId="0" applyFont="1" applyBorder="1" applyAlignment="1" applyProtection="1">
      <alignment vertical="center"/>
      <protection hidden="1"/>
    </xf>
    <xf numFmtId="38" fontId="10" fillId="0" borderId="162" xfId="0" applyNumberFormat="1" applyFont="1" applyBorder="1" applyAlignment="1" applyProtection="1">
      <alignment vertical="center"/>
      <protection hidden="1"/>
    </xf>
    <xf numFmtId="49" fontId="10" fillId="0" borderId="12" xfId="0" applyNumberFormat="1" applyFont="1" applyBorder="1" applyAlignment="1" applyProtection="1">
      <alignment horizontal="right" vertical="center"/>
      <protection hidden="1"/>
    </xf>
    <xf numFmtId="38" fontId="10" fillId="0" borderId="161" xfId="0" applyNumberFormat="1" applyFont="1" applyBorder="1" applyAlignment="1" applyProtection="1">
      <alignment vertical="center" wrapText="1"/>
      <protection hidden="1"/>
    </xf>
    <xf numFmtId="49" fontId="10" fillId="0" borderId="14" xfId="0" applyNumberFormat="1" applyFont="1" applyBorder="1" applyAlignment="1" applyProtection="1">
      <alignment horizontal="center" vertical="center"/>
      <protection hidden="1"/>
    </xf>
    <xf numFmtId="49" fontId="10" fillId="0" borderId="44" xfId="0" applyNumberFormat="1" applyFont="1" applyBorder="1" applyAlignment="1" applyProtection="1">
      <alignment horizontal="right" vertical="center"/>
      <protection hidden="1"/>
    </xf>
    <xf numFmtId="49" fontId="10" fillId="0" borderId="78" xfId="0" applyNumberFormat="1" applyFont="1" applyBorder="1" applyAlignment="1" applyProtection="1">
      <alignment horizontal="center" vertical="center"/>
      <protection hidden="1"/>
    </xf>
    <xf numFmtId="49" fontId="10" fillId="0" borderId="58" xfId="0" applyNumberFormat="1" applyFont="1" applyBorder="1" applyAlignment="1" applyProtection="1">
      <alignment vertical="center"/>
      <protection hidden="1"/>
    </xf>
    <xf numFmtId="49" fontId="10" fillId="0" borderId="0" xfId="0" applyNumberFormat="1" applyFont="1" applyAlignment="1" applyProtection="1">
      <alignment vertical="center"/>
      <protection hidden="1"/>
    </xf>
    <xf numFmtId="0" fontId="10" fillId="0" borderId="20" xfId="0" applyFont="1" applyBorder="1" applyAlignment="1" applyProtection="1">
      <alignment vertical="center"/>
      <protection hidden="1"/>
    </xf>
    <xf numFmtId="49" fontId="10" fillId="0" borderId="13" xfId="0" applyNumberFormat="1" applyFont="1" applyBorder="1" applyAlignment="1" applyProtection="1">
      <alignment horizontal="center" vertical="center"/>
      <protection hidden="1"/>
    </xf>
    <xf numFmtId="49" fontId="10" fillId="0" borderId="56" xfId="0" applyNumberFormat="1" applyFont="1" applyBorder="1" applyAlignment="1" applyProtection="1">
      <alignment horizontal="right" vertical="center"/>
      <protection hidden="1"/>
    </xf>
    <xf numFmtId="38" fontId="10" fillId="0" borderId="163" xfId="0" applyNumberFormat="1" applyFont="1" applyBorder="1" applyAlignment="1" applyProtection="1">
      <alignment vertical="center"/>
      <protection hidden="1"/>
    </xf>
    <xf numFmtId="38" fontId="10" fillId="0" borderId="22" xfId="2" applyFont="1" applyBorder="1" applyAlignment="1" applyProtection="1">
      <alignment horizontal="left" vertical="center" indent="2"/>
      <protection hidden="1"/>
    </xf>
    <xf numFmtId="38" fontId="10" fillId="0" borderId="164" xfId="0" applyNumberFormat="1" applyFont="1" applyBorder="1" applyAlignment="1">
      <alignment vertical="center"/>
    </xf>
    <xf numFmtId="49" fontId="8" fillId="0" borderId="3" xfId="0" applyNumberFormat="1" applyFont="1" applyBorder="1" applyAlignment="1" applyProtection="1">
      <alignment horizontal="right" vertical="center"/>
      <protection hidden="1"/>
    </xf>
    <xf numFmtId="0" fontId="10" fillId="0" borderId="12" xfId="0" applyFont="1" applyBorder="1" applyAlignment="1" applyProtection="1">
      <alignment horizontal="right" vertical="center" wrapText="1"/>
      <protection hidden="1"/>
    </xf>
    <xf numFmtId="0" fontId="8" fillId="0" borderId="22" xfId="0" applyFont="1" applyBorder="1" applyAlignment="1" applyProtection="1">
      <alignment vertical="center" wrapText="1"/>
      <protection hidden="1"/>
    </xf>
    <xf numFmtId="38" fontId="10" fillId="0" borderId="156" xfId="0" applyNumberFormat="1" applyFont="1" applyBorder="1" applyAlignment="1" applyProtection="1">
      <alignment vertical="center" wrapText="1"/>
      <protection hidden="1"/>
    </xf>
    <xf numFmtId="0" fontId="14" fillId="0" borderId="22" xfId="0" applyFont="1" applyBorder="1" applyAlignment="1" applyProtection="1">
      <alignment vertical="center" wrapText="1"/>
      <protection hidden="1"/>
    </xf>
    <xf numFmtId="0" fontId="10" fillId="0" borderId="44" xfId="0" applyFont="1" applyBorder="1" applyAlignment="1" applyProtection="1">
      <alignment horizontal="right" vertical="center" wrapText="1"/>
      <protection hidden="1"/>
    </xf>
    <xf numFmtId="0" fontId="8" fillId="0" borderId="72" xfId="0" applyFont="1" applyBorder="1" applyAlignment="1" applyProtection="1">
      <alignment vertical="center" wrapText="1"/>
      <protection hidden="1"/>
    </xf>
    <xf numFmtId="38" fontId="10" fillId="0" borderId="145" xfId="0" applyNumberFormat="1" applyFont="1" applyBorder="1" applyAlignment="1" applyProtection="1">
      <alignment vertical="center" wrapText="1"/>
      <protection hidden="1"/>
    </xf>
    <xf numFmtId="38" fontId="10" fillId="0" borderId="21" xfId="2" applyFont="1" applyBorder="1" applyAlignment="1" applyProtection="1">
      <alignment vertical="center"/>
      <protection locked="0"/>
    </xf>
    <xf numFmtId="49" fontId="10" fillId="0" borderId="41" xfId="0" applyNumberFormat="1" applyFont="1" applyBorder="1" applyAlignment="1" applyProtection="1">
      <alignment horizontal="center" vertical="center"/>
      <protection hidden="1"/>
    </xf>
    <xf numFmtId="49" fontId="10" fillId="0" borderId="59" xfId="0" applyNumberFormat="1" applyFont="1" applyBorder="1" applyAlignment="1" applyProtection="1">
      <alignment vertical="center"/>
      <protection hidden="1"/>
    </xf>
    <xf numFmtId="0" fontId="10" fillId="0" borderId="131" xfId="0" applyFont="1" applyBorder="1" applyAlignment="1" applyProtection="1">
      <alignment horizontal="center" vertical="center"/>
      <protection hidden="1"/>
    </xf>
    <xf numFmtId="38" fontId="10" fillId="0" borderId="21" xfId="2" applyFont="1" applyBorder="1" applyAlignment="1">
      <alignment horizontal="left" vertical="center" indent="2"/>
    </xf>
    <xf numFmtId="49" fontId="10" fillId="0" borderId="18" xfId="0" applyNumberFormat="1" applyFont="1" applyBorder="1" applyAlignment="1" applyProtection="1">
      <alignment vertical="center"/>
      <protection hidden="1"/>
    </xf>
    <xf numFmtId="38" fontId="10" fillId="0" borderId="165" xfId="0" applyNumberFormat="1" applyFont="1" applyBorder="1" applyAlignment="1" applyProtection="1">
      <alignment vertical="center"/>
      <protection hidden="1"/>
    </xf>
    <xf numFmtId="38" fontId="10" fillId="0" borderId="2" xfId="2" applyFont="1" applyBorder="1" applyAlignment="1">
      <alignment vertical="center"/>
    </xf>
    <xf numFmtId="0" fontId="0" fillId="0" borderId="17" xfId="0" applyBorder="1" applyAlignment="1" applyProtection="1">
      <alignment vertical="center"/>
      <protection hidden="1"/>
    </xf>
    <xf numFmtId="38" fontId="10" fillId="0" borderId="1" xfId="2" applyFont="1" applyBorder="1" applyAlignment="1">
      <alignment vertical="center"/>
    </xf>
    <xf numFmtId="38" fontId="10" fillId="0" borderId="17" xfId="2" applyFont="1" applyBorder="1" applyAlignment="1">
      <alignment vertical="center"/>
    </xf>
    <xf numFmtId="38" fontId="10" fillId="0" borderId="24" xfId="2" applyFont="1" applyBorder="1" applyAlignment="1">
      <alignment vertical="center"/>
    </xf>
    <xf numFmtId="38" fontId="10" fillId="0" borderId="1" xfId="2" applyFont="1" applyBorder="1" applyAlignment="1" applyProtection="1">
      <alignment vertical="center"/>
      <protection locked="0"/>
    </xf>
    <xf numFmtId="49" fontId="10" fillId="21" borderId="131" xfId="0" applyNumberFormat="1" applyFont="1" applyFill="1" applyBorder="1" applyAlignment="1" applyProtection="1">
      <alignment horizontal="center" vertical="center"/>
      <protection hidden="1"/>
    </xf>
    <xf numFmtId="49" fontId="10" fillId="0" borderId="139" xfId="0" applyNumberFormat="1" applyFont="1" applyBorder="1" applyAlignment="1" applyProtection="1">
      <alignment horizontal="center" vertical="center"/>
      <protection hidden="1"/>
    </xf>
    <xf numFmtId="38" fontId="10" fillId="0" borderId="166" xfId="0" applyNumberFormat="1" applyFont="1" applyBorder="1" applyAlignment="1" applyProtection="1">
      <alignment vertical="center"/>
      <protection hidden="1"/>
    </xf>
    <xf numFmtId="205" fontId="15" fillId="0" borderId="1" xfId="0" applyNumberFormat="1" applyFont="1" applyBorder="1" applyAlignment="1" applyProtection="1">
      <alignment horizontal="center" vertical="center"/>
      <protection hidden="1"/>
    </xf>
    <xf numFmtId="0" fontId="0" fillId="0" borderId="136" xfId="0" applyBorder="1"/>
    <xf numFmtId="0" fontId="0" fillId="0" borderId="141" xfId="0" applyBorder="1"/>
    <xf numFmtId="38" fontId="21" fillId="0" borderId="140" xfId="2" applyFont="1" applyBorder="1" applyAlignment="1" applyProtection="1">
      <alignment vertical="center"/>
      <protection hidden="1"/>
    </xf>
    <xf numFmtId="0" fontId="0" fillId="0" borderId="167" xfId="0" applyBorder="1"/>
    <xf numFmtId="0" fontId="3" fillId="0" borderId="0" xfId="14" applyFill="1" applyBorder="1" applyAlignment="1">
      <alignment horizontal="center" vertical="center"/>
    </xf>
    <xf numFmtId="0" fontId="10" fillId="0" borderId="0" xfId="14" applyFont="1" applyFill="1" applyBorder="1">
      <alignment vertical="center"/>
    </xf>
    <xf numFmtId="38" fontId="3" fillId="0" borderId="0" xfId="2" applyFill="1" applyBorder="1" applyAlignment="1" applyProtection="1">
      <alignment vertical="center"/>
      <protection hidden="1"/>
    </xf>
    <xf numFmtId="0" fontId="10" fillId="0" borderId="0" xfId="14" applyFont="1" applyFill="1" applyBorder="1" applyAlignment="1">
      <alignment horizontal="left" vertical="center"/>
    </xf>
    <xf numFmtId="38" fontId="10" fillId="0" borderId="0" xfId="2" applyFont="1" applyFill="1" applyBorder="1" applyAlignment="1">
      <alignment vertical="center"/>
    </xf>
    <xf numFmtId="49" fontId="10" fillId="0" borderId="0" xfId="14" applyNumberFormat="1" applyFont="1" applyFill="1" applyBorder="1" applyAlignment="1">
      <alignment horizontal="left" vertical="center"/>
    </xf>
    <xf numFmtId="49" fontId="10" fillId="0" borderId="0" xfId="14" applyNumberFormat="1" applyFont="1" applyFill="1" applyBorder="1" applyAlignment="1">
      <alignment horizontal="left" vertical="center" wrapText="1"/>
    </xf>
    <xf numFmtId="188" fontId="40" fillId="0" borderId="0" xfId="1" applyNumberFormat="1" applyFont="1" applyFill="1" applyBorder="1" applyAlignment="1">
      <alignment horizontal="left" vertical="center" wrapText="1"/>
    </xf>
    <xf numFmtId="0" fontId="12" fillId="0" borderId="0" xfId="14" applyFont="1" applyFill="1" applyBorder="1" applyAlignment="1">
      <alignment vertical="center" wrapText="1"/>
    </xf>
    <xf numFmtId="0" fontId="21"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10" fillId="0" borderId="0" xfId="12" applyFont="1" applyFill="1" applyBorder="1" applyAlignment="1">
      <alignment horizontal="left" vertical="center"/>
    </xf>
    <xf numFmtId="184" fontId="3" fillId="0" borderId="0" xfId="1" applyNumberFormat="1" applyFill="1" applyBorder="1" applyAlignment="1" applyProtection="1">
      <alignment horizontal="center" vertical="center"/>
      <protection hidden="1"/>
    </xf>
    <xf numFmtId="0" fontId="23" fillId="0" borderId="109" xfId="0" applyFont="1" applyBorder="1" applyAlignment="1" applyProtection="1">
      <alignment vertical="center"/>
      <protection hidden="1"/>
    </xf>
    <xf numFmtId="0" fontId="23" fillId="0" borderId="17" xfId="0" applyFont="1" applyBorder="1" applyAlignment="1" applyProtection="1">
      <alignment horizontal="center" vertical="center"/>
      <protection hidden="1"/>
    </xf>
    <xf numFmtId="0" fontId="27" fillId="0" borderId="0" xfId="11" applyFont="1" applyFill="1" applyAlignment="1" applyProtection="1">
      <alignment horizontal="right" vertical="center"/>
    </xf>
    <xf numFmtId="181" fontId="12" fillId="0" borderId="0" xfId="11" applyNumberFormat="1" applyFont="1" applyFill="1" applyBorder="1" applyAlignment="1" applyProtection="1">
      <alignment horizontal="center" vertical="center"/>
      <protection locked="0"/>
    </xf>
    <xf numFmtId="0" fontId="10" fillId="0" borderId="139" xfId="14" applyFont="1" applyBorder="1">
      <alignment vertical="center"/>
    </xf>
    <xf numFmtId="0" fontId="10" fillId="0" borderId="2" xfId="14" applyFont="1" applyBorder="1">
      <alignment vertical="center"/>
    </xf>
    <xf numFmtId="0" fontId="10" fillId="0" borderId="146" xfId="14" applyFont="1" applyBorder="1">
      <alignment vertical="center"/>
    </xf>
    <xf numFmtId="0" fontId="10" fillId="0" borderId="147" xfId="14" applyFont="1" applyBorder="1">
      <alignment vertical="center"/>
    </xf>
    <xf numFmtId="0" fontId="3" fillId="0" borderId="142" xfId="0" applyFont="1" applyBorder="1" applyAlignment="1">
      <alignment vertical="center"/>
    </xf>
    <xf numFmtId="0" fontId="3" fillId="0" borderId="7" xfId="0" applyFont="1" applyBorder="1" applyAlignment="1">
      <alignment vertical="center"/>
    </xf>
    <xf numFmtId="0" fontId="77" fillId="2" borderId="51" xfId="33" applyFill="1" applyBorder="1" applyAlignment="1" applyProtection="1">
      <alignment vertical="center"/>
      <protection locked="0"/>
    </xf>
    <xf numFmtId="0" fontId="51" fillId="0" borderId="0" xfId="11" applyFont="1" applyAlignment="1" applyProtection="1">
      <alignment horizontal="left" vertical="center"/>
    </xf>
    <xf numFmtId="0" fontId="78" fillId="0" borderId="0" xfId="11" applyFont="1" applyAlignment="1" applyProtection="1">
      <alignment horizontal="left" vertical="center" indent="1"/>
    </xf>
    <xf numFmtId="0" fontId="0" fillId="25" borderId="169" xfId="0" applyFill="1" applyBorder="1" applyAlignment="1" applyProtection="1">
      <alignment vertical="center"/>
      <protection locked="0"/>
    </xf>
    <xf numFmtId="0" fontId="0" fillId="25" borderId="170" xfId="0" applyFill="1" applyBorder="1" applyAlignment="1" applyProtection="1">
      <alignment vertical="center"/>
      <protection locked="0"/>
    </xf>
    <xf numFmtId="0" fontId="0" fillId="25" borderId="171" xfId="0" applyFill="1" applyBorder="1" applyAlignment="1" applyProtection="1">
      <alignment vertical="center"/>
      <protection locked="0"/>
    </xf>
    <xf numFmtId="0" fontId="0" fillId="25" borderId="139" xfId="0" applyFill="1" applyBorder="1" applyAlignment="1" applyProtection="1">
      <alignment vertical="center"/>
      <protection locked="0"/>
    </xf>
    <xf numFmtId="0" fontId="0" fillId="25" borderId="2" xfId="0" applyFill="1" applyBorder="1" applyAlignment="1" applyProtection="1">
      <alignment vertical="center"/>
      <protection locked="0"/>
    </xf>
    <xf numFmtId="0" fontId="0" fillId="25" borderId="172" xfId="0" applyFill="1" applyBorder="1" applyAlignment="1" applyProtection="1">
      <alignment vertical="center"/>
      <protection locked="0"/>
    </xf>
    <xf numFmtId="0" fontId="3" fillId="23" borderId="136" xfId="14" applyFill="1" applyBorder="1" applyAlignment="1" applyProtection="1">
      <alignment horizontal="centerContinuous" vertical="center"/>
      <protection locked="0"/>
    </xf>
    <xf numFmtId="0" fontId="3" fillId="23" borderId="0" xfId="14" applyFill="1" applyAlignment="1" applyProtection="1">
      <alignment horizontal="centerContinuous" vertical="center"/>
      <protection locked="0"/>
    </xf>
    <xf numFmtId="0" fontId="3" fillId="23" borderId="20" xfId="14" applyFill="1" applyBorder="1" applyAlignment="1" applyProtection="1">
      <alignment horizontal="centerContinuous" vertical="center"/>
      <protection locked="0"/>
    </xf>
    <xf numFmtId="0" fontId="12" fillId="0" borderId="170" xfId="0" applyFont="1" applyBorder="1" applyAlignment="1">
      <alignment horizontal="left" vertical="center" wrapText="1"/>
    </xf>
    <xf numFmtId="0" fontId="12" fillId="0" borderId="2"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59" xfId="0" applyFont="1" applyBorder="1" applyAlignment="1">
      <alignment horizontal="left" vertical="center" wrapText="1"/>
    </xf>
    <xf numFmtId="0" fontId="10" fillId="0" borderId="2" xfId="0" applyFont="1" applyBorder="1" applyAlignment="1" applyProtection="1">
      <alignment horizontal="centerContinuous" vertical="center" wrapText="1"/>
      <protection locked="0" hidden="1"/>
    </xf>
    <xf numFmtId="49" fontId="10" fillId="0" borderId="8" xfId="0" applyNumberFormat="1" applyFont="1" applyBorder="1" applyAlignment="1" applyProtection="1">
      <alignment vertical="center"/>
      <protection locked="0" hidden="1"/>
    </xf>
    <xf numFmtId="0" fontId="10" fillId="0" borderId="172" xfId="0" applyFont="1" applyBorder="1" applyAlignment="1" applyProtection="1">
      <alignment horizontal="centerContinuous" vertical="center" wrapText="1"/>
      <protection locked="0" hidden="1"/>
    </xf>
    <xf numFmtId="49" fontId="10" fillId="0" borderId="31" xfId="0" applyNumberFormat="1" applyFont="1" applyBorder="1" applyAlignment="1" applyProtection="1">
      <alignment vertical="center"/>
      <protection locked="0" hidden="1"/>
    </xf>
    <xf numFmtId="49" fontId="10" fillId="0" borderId="52" xfId="0" applyNumberFormat="1" applyFont="1" applyBorder="1" applyAlignment="1" applyProtection="1">
      <alignment vertical="center"/>
      <protection locked="0" hidden="1"/>
    </xf>
    <xf numFmtId="49" fontId="10" fillId="0" borderId="29" xfId="0" applyNumberFormat="1" applyFont="1" applyBorder="1" applyAlignment="1" applyProtection="1">
      <alignment vertical="center"/>
      <protection locked="0" hidden="1"/>
    </xf>
    <xf numFmtId="49" fontId="10" fillId="21" borderId="2" xfId="0" applyNumberFormat="1" applyFont="1" applyFill="1" applyBorder="1" applyAlignment="1" applyProtection="1">
      <alignment horizontal="left" vertical="center"/>
      <protection locked="0" hidden="1"/>
    </xf>
    <xf numFmtId="49" fontId="10" fillId="0" borderId="21" xfId="0" applyNumberFormat="1" applyFont="1" applyBorder="1" applyAlignment="1" applyProtection="1">
      <alignment vertical="center"/>
      <protection locked="0" hidden="1"/>
    </xf>
    <xf numFmtId="49" fontId="10" fillId="0" borderId="54" xfId="0" applyNumberFormat="1" applyFont="1" applyBorder="1" applyAlignment="1" applyProtection="1">
      <alignment vertical="center"/>
      <protection locked="0" hidden="1"/>
    </xf>
    <xf numFmtId="49" fontId="10" fillId="0" borderId="30" xfId="0" applyNumberFormat="1" applyFont="1" applyBorder="1" applyAlignment="1" applyProtection="1">
      <alignment vertical="center"/>
      <protection locked="0" hidden="1"/>
    </xf>
    <xf numFmtId="0" fontId="3" fillId="0" borderId="8" xfId="0" applyFont="1" applyBorder="1" applyAlignment="1">
      <alignment vertical="center"/>
    </xf>
    <xf numFmtId="49" fontId="10" fillId="0" borderId="2" xfId="0" applyNumberFormat="1" applyFont="1" applyBorder="1" applyAlignment="1" applyProtection="1">
      <alignment horizontal="centerContinuous" vertical="center" wrapText="1"/>
      <protection locked="0" hidden="1"/>
    </xf>
    <xf numFmtId="0" fontId="3" fillId="0" borderId="2" xfId="0" applyFont="1" applyBorder="1" applyAlignment="1" applyProtection="1">
      <alignment horizontal="centerContinuous" vertical="center" wrapText="1"/>
      <protection locked="0"/>
    </xf>
    <xf numFmtId="0" fontId="3" fillId="24" borderId="158" xfId="0" applyFont="1" applyFill="1" applyBorder="1" applyAlignment="1" applyProtection="1">
      <alignment horizontal="centerContinuous" vertical="center"/>
      <protection locked="0" hidden="1"/>
    </xf>
    <xf numFmtId="0" fontId="3" fillId="24" borderId="109" xfId="0" applyFont="1" applyFill="1" applyBorder="1" applyAlignment="1" applyProtection="1">
      <alignment horizontal="centerContinuous" vertical="center"/>
      <protection locked="0" hidden="1"/>
    </xf>
    <xf numFmtId="0" fontId="3" fillId="24" borderId="46" xfId="0" applyFont="1" applyFill="1" applyBorder="1" applyAlignment="1" applyProtection="1">
      <alignment horizontal="center" vertical="center"/>
      <protection locked="0" hidden="1"/>
    </xf>
    <xf numFmtId="0" fontId="3" fillId="24" borderId="176" xfId="0" applyFont="1" applyFill="1" applyBorder="1" applyAlignment="1" applyProtection="1">
      <alignment horizontal="center" vertical="center" wrapText="1"/>
      <protection locked="0" hidden="1"/>
    </xf>
    <xf numFmtId="0" fontId="10" fillId="0" borderId="177" xfId="32" applyFont="1" applyBorder="1" applyAlignment="1" applyProtection="1">
      <alignment horizontal="center" vertical="center"/>
      <protection locked="0"/>
    </xf>
    <xf numFmtId="0" fontId="10" fillId="0" borderId="178" xfId="32" applyFont="1" applyBorder="1" applyAlignment="1" applyProtection="1">
      <alignment horizontal="left" vertical="center"/>
      <protection locked="0"/>
    </xf>
    <xf numFmtId="3" fontId="10" fillId="0" borderId="179" xfId="32" applyNumberFormat="1" applyFont="1" applyBorder="1" applyAlignment="1" applyProtection="1">
      <alignment horizontal="right" vertical="center"/>
      <protection locked="0"/>
    </xf>
    <xf numFmtId="3" fontId="3" fillId="0" borderId="180" xfId="1" applyNumberFormat="1" applyBorder="1" applyAlignment="1" applyProtection="1">
      <alignment horizontal="right" vertical="center"/>
      <protection locked="0" hidden="1"/>
    </xf>
    <xf numFmtId="0" fontId="10" fillId="0" borderId="139" xfId="32" applyFont="1" applyBorder="1" applyAlignment="1" applyProtection="1">
      <alignment horizontal="center" vertical="center"/>
      <protection locked="0"/>
    </xf>
    <xf numFmtId="0" fontId="10" fillId="0" borderId="2" xfId="32" applyFont="1" applyBorder="1" applyAlignment="1" applyProtection="1">
      <alignment horizontal="left" vertical="center"/>
      <protection locked="0"/>
    </xf>
    <xf numFmtId="3" fontId="10" fillId="0" borderId="7" xfId="32" applyNumberFormat="1" applyFont="1" applyBorder="1" applyAlignment="1" applyProtection="1">
      <alignment horizontal="right" vertical="center"/>
      <protection locked="0"/>
    </xf>
    <xf numFmtId="3" fontId="3" fillId="0" borderId="159" xfId="1" applyNumberFormat="1" applyBorder="1" applyAlignment="1" applyProtection="1">
      <alignment horizontal="right" vertical="center"/>
      <protection locked="0" hidden="1"/>
    </xf>
    <xf numFmtId="0" fontId="10" fillId="0" borderId="181" xfId="32" applyFont="1" applyBorder="1" applyAlignment="1" applyProtection="1">
      <alignment horizontal="center" vertical="center"/>
      <protection locked="0"/>
    </xf>
    <xf numFmtId="0" fontId="10" fillId="0" borderId="182" xfId="32" applyFont="1" applyBorder="1" applyAlignment="1" applyProtection="1">
      <alignment horizontal="left" vertical="center"/>
      <protection locked="0"/>
    </xf>
    <xf numFmtId="3" fontId="10" fillId="0" borderId="143" xfId="32" applyNumberFormat="1" applyFont="1" applyBorder="1" applyAlignment="1" applyProtection="1">
      <alignment horizontal="right" vertical="center"/>
      <protection locked="0"/>
    </xf>
    <xf numFmtId="3" fontId="3" fillId="0" borderId="183" xfId="1" applyNumberFormat="1" applyBorder="1" applyAlignment="1" applyProtection="1">
      <alignment horizontal="right" vertical="center"/>
      <protection locked="0" hidden="1"/>
    </xf>
    <xf numFmtId="49" fontId="10" fillId="0" borderId="139" xfId="0" applyNumberFormat="1" applyFont="1" applyBorder="1" applyAlignment="1" applyProtection="1">
      <alignment horizontal="center" vertical="center"/>
      <protection locked="0" hidden="1"/>
    </xf>
    <xf numFmtId="38" fontId="10" fillId="0" borderId="140" xfId="0" applyNumberFormat="1" applyFont="1" applyBorder="1" applyAlignment="1">
      <alignment vertical="center" wrapText="1"/>
    </xf>
    <xf numFmtId="0" fontId="0" fillId="26" borderId="0" xfId="0" applyFill="1"/>
    <xf numFmtId="0" fontId="56" fillId="10" borderId="0" xfId="0" applyFont="1" applyFill="1" applyAlignment="1">
      <alignment horizontal="center"/>
    </xf>
    <xf numFmtId="0" fontId="56" fillId="0" borderId="0" xfId="0" applyFont="1" applyAlignment="1">
      <alignment horizontal="center"/>
    </xf>
    <xf numFmtId="0" fontId="56" fillId="0" borderId="7" xfId="0" applyFont="1" applyBorder="1" applyAlignment="1">
      <alignment horizontal="center"/>
    </xf>
    <xf numFmtId="0" fontId="0" fillId="0" borderId="7" xfId="0" applyBorder="1" applyAlignment="1">
      <alignment horizontal="center"/>
    </xf>
    <xf numFmtId="178" fontId="0" fillId="0" borderId="7" xfId="0" applyNumberFormat="1" applyBorder="1" applyAlignment="1">
      <alignment horizontal="center"/>
    </xf>
    <xf numFmtId="178" fontId="79" fillId="0" borderId="7" xfId="0" applyNumberFormat="1" applyFont="1" applyBorder="1" applyAlignment="1">
      <alignment horizontal="center"/>
    </xf>
    <xf numFmtId="0" fontId="56" fillId="0" borderId="2" xfId="0" applyFont="1" applyBorder="1" applyAlignment="1">
      <alignment horizontal="center"/>
    </xf>
    <xf numFmtId="178" fontId="0" fillId="0" borderId="7" xfId="0" applyNumberFormat="1" applyBorder="1" applyAlignment="1">
      <alignment horizontal="center" vertical="center"/>
    </xf>
    <xf numFmtId="49" fontId="10" fillId="0" borderId="12" xfId="0" applyNumberFormat="1" applyFont="1" applyBorder="1" applyAlignment="1" applyProtection="1">
      <alignment vertical="center"/>
      <protection hidden="1"/>
    </xf>
    <xf numFmtId="38" fontId="10" fillId="0" borderId="22" xfId="2" applyFont="1" applyBorder="1" applyAlignment="1" applyProtection="1">
      <alignment vertical="center"/>
      <protection locked="0"/>
    </xf>
    <xf numFmtId="49" fontId="10" fillId="0" borderId="19" xfId="0" applyNumberFormat="1" applyFont="1" applyBorder="1" applyAlignment="1" applyProtection="1">
      <alignment vertical="center"/>
      <protection hidden="1"/>
    </xf>
    <xf numFmtId="38" fontId="10" fillId="0" borderId="72" xfId="2" applyFont="1" applyBorder="1" applyAlignment="1" applyProtection="1">
      <alignment vertical="center"/>
      <protection locked="0"/>
    </xf>
    <xf numFmtId="38" fontId="10" fillId="0" borderId="145" xfId="0" applyNumberFormat="1" applyFont="1" applyBorder="1" applyAlignment="1" applyProtection="1">
      <alignment vertical="center"/>
      <protection hidden="1"/>
    </xf>
    <xf numFmtId="49" fontId="10" fillId="0" borderId="29" xfId="0" applyNumberFormat="1" applyFont="1" applyBorder="1" applyAlignment="1" applyProtection="1">
      <alignment vertical="center"/>
      <protection hidden="1"/>
    </xf>
    <xf numFmtId="38" fontId="10" fillId="0" borderId="31" xfId="2" applyFont="1" applyBorder="1" applyAlignment="1" applyProtection="1">
      <alignment vertical="center"/>
      <protection locked="0"/>
    </xf>
    <xf numFmtId="49" fontId="10" fillId="0" borderId="39" xfId="0" applyNumberFormat="1" applyFont="1" applyBorder="1" applyAlignment="1" applyProtection="1">
      <alignment vertical="center"/>
      <protection hidden="1"/>
    </xf>
    <xf numFmtId="49" fontId="10" fillId="0" borderId="30" xfId="0" applyNumberFormat="1" applyFont="1" applyBorder="1" applyAlignment="1" applyProtection="1">
      <alignment vertical="center"/>
      <protection hidden="1"/>
    </xf>
    <xf numFmtId="178" fontId="0" fillId="0" borderId="2" xfId="0" applyNumberFormat="1" applyBorder="1" applyAlignment="1">
      <alignment horizontal="center"/>
    </xf>
    <xf numFmtId="49" fontId="10" fillId="0" borderId="6" xfId="0" applyNumberFormat="1" applyFont="1" applyBorder="1" applyAlignment="1" applyProtection="1">
      <alignment horizontal="center" vertical="center"/>
      <protection hidden="1"/>
    </xf>
    <xf numFmtId="49" fontId="10" fillId="0" borderId="46" xfId="0" applyNumberFormat="1" applyFont="1" applyBorder="1" applyAlignment="1" applyProtection="1">
      <alignment horizontal="center" vertical="center"/>
      <protection hidden="1"/>
    </xf>
    <xf numFmtId="49" fontId="10" fillId="0" borderId="69" xfId="0" applyNumberFormat="1" applyFont="1" applyBorder="1" applyAlignment="1" applyProtection="1">
      <alignment horizontal="center" vertical="center"/>
      <protection hidden="1"/>
    </xf>
    <xf numFmtId="0" fontId="56" fillId="0" borderId="17" xfId="0" applyFont="1" applyBorder="1" applyAlignment="1">
      <alignment horizontal="center"/>
    </xf>
    <xf numFmtId="0" fontId="56" fillId="0" borderId="109" xfId="0" applyFont="1" applyBorder="1" applyAlignment="1">
      <alignment horizontal="center"/>
    </xf>
    <xf numFmtId="38" fontId="10" fillId="0" borderId="140" xfId="0" applyNumberFormat="1" applyFont="1" applyBorder="1" applyAlignment="1">
      <alignment vertical="center"/>
    </xf>
    <xf numFmtId="38" fontId="7" fillId="0" borderId="8" xfId="0" applyNumberFormat="1" applyFont="1" applyBorder="1" applyAlignment="1" applyProtection="1">
      <alignment horizontal="center" vertical="center" wrapText="1"/>
      <protection hidden="1"/>
    </xf>
    <xf numFmtId="0" fontId="12" fillId="0" borderId="174" xfId="0" applyFont="1" applyBorder="1" applyAlignment="1">
      <alignment vertical="center"/>
    </xf>
    <xf numFmtId="0" fontId="12" fillId="0" borderId="173" xfId="0" applyFont="1" applyBorder="1" applyAlignment="1">
      <alignment horizontal="centerContinuous" vertical="center"/>
    </xf>
    <xf numFmtId="0" fontId="12" fillId="0" borderId="170" xfId="0" applyFont="1" applyBorder="1" applyAlignment="1">
      <alignment horizontal="centerContinuous" vertical="center"/>
    </xf>
    <xf numFmtId="0" fontId="0" fillId="0" borderId="0" xfId="0" applyAlignment="1">
      <alignment vertical="center"/>
    </xf>
    <xf numFmtId="0" fontId="28" fillId="0" borderId="131" xfId="0" applyFont="1" applyFill="1" applyBorder="1" applyAlignment="1">
      <alignment vertical="center"/>
    </xf>
    <xf numFmtId="0" fontId="28" fillId="0" borderId="109" xfId="0" applyFont="1" applyFill="1" applyBorder="1" applyAlignment="1">
      <alignment vertical="center"/>
    </xf>
    <xf numFmtId="0" fontId="3" fillId="10" borderId="0" xfId="0" applyFont="1" applyFill="1" applyBorder="1"/>
    <xf numFmtId="0" fontId="3" fillId="0" borderId="3" xfId="0" applyFont="1" applyBorder="1" applyAlignment="1">
      <alignment vertical="center"/>
    </xf>
    <xf numFmtId="0" fontId="3" fillId="0" borderId="26" xfId="0" applyFont="1" applyBorder="1" applyAlignment="1">
      <alignment horizontal="center" vertical="center"/>
    </xf>
    <xf numFmtId="0" fontId="8" fillId="0" borderId="18" xfId="0" applyFont="1" applyBorder="1" applyAlignment="1" applyProtection="1">
      <alignment horizontal="center" vertical="center"/>
      <protection hidden="1"/>
    </xf>
    <xf numFmtId="0" fontId="16" fillId="0" borderId="108" xfId="0" applyFont="1" applyBorder="1" applyAlignment="1" applyProtection="1">
      <alignment horizontal="center" vertical="center"/>
      <protection hidden="1"/>
    </xf>
    <xf numFmtId="176" fontId="10" fillId="0" borderId="0" xfId="0" applyNumberFormat="1" applyFont="1" applyAlignment="1">
      <alignment vertical="center"/>
    </xf>
    <xf numFmtId="49" fontId="10" fillId="2" borderId="130" xfId="0" applyNumberFormat="1" applyFont="1" applyFill="1" applyBorder="1" applyAlignment="1" applyProtection="1">
      <alignment horizontal="left" vertical="center" wrapText="1"/>
      <protection locked="0"/>
    </xf>
    <xf numFmtId="0" fontId="0" fillId="0" borderId="128" xfId="0" applyFont="1" applyBorder="1" applyAlignment="1">
      <alignment horizontal="center" vertical="center"/>
    </xf>
    <xf numFmtId="0" fontId="10" fillId="0" borderId="128" xfId="0" applyFont="1" applyBorder="1" applyAlignment="1">
      <alignment vertical="center"/>
    </xf>
    <xf numFmtId="0" fontId="0" fillId="0" borderId="129" xfId="0" applyFont="1" applyBorder="1" applyAlignment="1">
      <alignment vertical="center" wrapText="1"/>
    </xf>
    <xf numFmtId="0" fontId="0" fillId="0" borderId="128" xfId="0" applyFont="1" applyBorder="1" applyAlignment="1">
      <alignment vertical="center"/>
    </xf>
    <xf numFmtId="0" fontId="10" fillId="17" borderId="3" xfId="6" applyFont="1" applyFill="1" applyBorder="1" applyAlignment="1" applyProtection="1">
      <alignment horizontal="center" vertical="center" wrapText="1"/>
    </xf>
    <xf numFmtId="0" fontId="10" fillId="17" borderId="0" xfId="6" applyFont="1" applyFill="1" applyBorder="1" applyAlignment="1" applyProtection="1">
      <alignment horizontal="left" vertical="center" wrapText="1"/>
    </xf>
    <xf numFmtId="0" fontId="3" fillId="2" borderId="53" xfId="6" applyFont="1" applyFill="1" applyBorder="1" applyAlignment="1" applyProtection="1">
      <alignment vertical="center"/>
      <protection locked="0"/>
    </xf>
    <xf numFmtId="0" fontId="10" fillId="0" borderId="131" xfId="9" applyFont="1" applyBorder="1" applyAlignment="1" applyProtection="1">
      <alignment vertical="center"/>
      <protection hidden="1"/>
    </xf>
    <xf numFmtId="0" fontId="3" fillId="0" borderId="22" xfId="9" applyFont="1" applyBorder="1" applyAlignment="1">
      <alignment horizontal="right" vertical="center"/>
    </xf>
    <xf numFmtId="0" fontId="10" fillId="0" borderId="131" xfId="9" applyFont="1" applyBorder="1" applyAlignment="1">
      <alignment horizontal="center" vertical="center"/>
    </xf>
    <xf numFmtId="0" fontId="51" fillId="0" borderId="184" xfId="9" applyFont="1" applyBorder="1" applyAlignment="1" applyProtection="1">
      <alignment horizontal="center" vertical="center"/>
      <protection hidden="1"/>
    </xf>
    <xf numFmtId="0" fontId="3" fillId="16" borderId="184" xfId="9" applyFont="1" applyFill="1" applyBorder="1" applyAlignment="1">
      <alignment horizontal="center" vertical="center"/>
    </xf>
    <xf numFmtId="0" fontId="10" fillId="0" borderId="188" xfId="9" applyFont="1" applyBorder="1" applyAlignment="1" applyProtection="1">
      <alignment vertical="center"/>
      <protection hidden="1"/>
    </xf>
    <xf numFmtId="178" fontId="3" fillId="2" borderId="190" xfId="9" applyNumberFormat="1" applyFont="1" applyFill="1" applyBorder="1" applyAlignment="1" applyProtection="1">
      <alignment vertical="center"/>
      <protection locked="0"/>
    </xf>
    <xf numFmtId="0" fontId="10" fillId="0" borderId="191" xfId="9" applyFont="1" applyBorder="1" applyAlignment="1">
      <alignment vertical="center"/>
    </xf>
    <xf numFmtId="0" fontId="3" fillId="0" borderId="187" xfId="9" applyFont="1" applyBorder="1" applyAlignment="1">
      <alignment horizontal="right" vertical="center"/>
    </xf>
    <xf numFmtId="0" fontId="10" fillId="0" borderId="197" xfId="9" applyFont="1" applyBorder="1" applyAlignment="1" applyProtection="1">
      <alignment vertical="center"/>
      <protection hidden="1"/>
    </xf>
    <xf numFmtId="0" fontId="10" fillId="2" borderId="199" xfId="9" applyFont="1" applyFill="1" applyBorder="1" applyAlignment="1" applyProtection="1">
      <alignment vertical="center"/>
      <protection locked="0"/>
    </xf>
    <xf numFmtId="0" fontId="10" fillId="0" borderId="200" xfId="9" applyFont="1" applyBorder="1" applyAlignment="1">
      <alignment vertical="center"/>
    </xf>
    <xf numFmtId="0" fontId="3" fillId="0" borderId="196" xfId="9" applyFont="1" applyBorder="1" applyAlignment="1">
      <alignment horizontal="right" vertical="center"/>
    </xf>
    <xf numFmtId="0" fontId="0" fillId="0" borderId="0" xfId="0" applyBorder="1" applyAlignment="1">
      <alignment vertical="center"/>
    </xf>
    <xf numFmtId="0" fontId="0" fillId="0" borderId="0" xfId="0" applyAlignment="1">
      <alignment vertical="center"/>
    </xf>
    <xf numFmtId="14" fontId="10" fillId="0" borderId="0" xfId="0" applyNumberFormat="1" applyFont="1" applyFill="1" applyAlignment="1">
      <alignment vertical="center"/>
    </xf>
    <xf numFmtId="49" fontId="8" fillId="0" borderId="131" xfId="0" applyNumberFormat="1" applyFont="1" applyBorder="1" applyAlignment="1">
      <alignment horizontal="center" vertical="center"/>
    </xf>
    <xf numFmtId="0" fontId="9" fillId="0" borderId="109" xfId="0" applyFont="1" applyBorder="1" applyAlignment="1">
      <alignment vertical="center"/>
    </xf>
    <xf numFmtId="0" fontId="9" fillId="0" borderId="112" xfId="0" applyFont="1" applyBorder="1" applyAlignment="1">
      <alignment vertical="center"/>
    </xf>
    <xf numFmtId="49" fontId="8" fillId="0" borderId="18" xfId="0" applyNumberFormat="1" applyFont="1" applyBorder="1" applyAlignment="1">
      <alignment horizontal="center" vertical="center"/>
    </xf>
    <xf numFmtId="38" fontId="7" fillId="2" borderId="112" xfId="2" applyFont="1" applyFill="1" applyBorder="1" applyAlignment="1" applyProtection="1">
      <alignment vertical="center"/>
      <protection locked="0"/>
    </xf>
    <xf numFmtId="0" fontId="9" fillId="0" borderId="11" xfId="0" applyFont="1" applyBorder="1" applyAlignment="1">
      <alignment vertical="center"/>
    </xf>
    <xf numFmtId="0" fontId="9" fillId="0" borderId="21" xfId="0" applyFont="1" applyBorder="1" applyAlignment="1">
      <alignment vertical="center"/>
    </xf>
    <xf numFmtId="38" fontId="7" fillId="2" borderId="21" xfId="2" applyFont="1" applyFill="1" applyBorder="1" applyAlignment="1" applyProtection="1">
      <alignment vertical="center"/>
      <protection locked="0"/>
    </xf>
    <xf numFmtId="0" fontId="0" fillId="0" borderId="19" xfId="0" applyFont="1" applyBorder="1" applyAlignment="1">
      <alignment vertical="center"/>
    </xf>
    <xf numFmtId="0" fontId="0" fillId="17" borderId="0" xfId="6" applyFont="1" applyFill="1" applyAlignment="1" applyProtection="1">
      <alignment vertical="center"/>
    </xf>
    <xf numFmtId="0" fontId="10" fillId="17" borderId="20" xfId="6" applyFont="1" applyFill="1" applyBorder="1" applyAlignment="1" applyProtection="1">
      <alignment horizontal="right" vertical="center"/>
    </xf>
    <xf numFmtId="3" fontId="3" fillId="3" borderId="24" xfId="6" applyNumberFormat="1" applyFont="1" applyFill="1" applyBorder="1" applyAlignment="1" applyProtection="1">
      <alignment vertical="center"/>
      <protection hidden="1"/>
    </xf>
    <xf numFmtId="0" fontId="10" fillId="17" borderId="131" xfId="6" applyFont="1" applyFill="1" applyBorder="1" applyAlignment="1" applyProtection="1">
      <alignment horizontal="center" vertical="center"/>
    </xf>
    <xf numFmtId="0" fontId="10" fillId="17" borderId="112" xfId="6" applyFont="1" applyFill="1" applyBorder="1" applyProtection="1">
      <alignment vertical="center"/>
    </xf>
    <xf numFmtId="3" fontId="0" fillId="2" borderId="30" xfId="6" applyNumberFormat="1" applyFont="1" applyFill="1" applyBorder="1" applyAlignment="1" applyProtection="1">
      <alignment horizontal="left" vertical="center"/>
      <protection locked="0"/>
    </xf>
    <xf numFmtId="3" fontId="3" fillId="2" borderId="21" xfId="6" applyNumberFormat="1" applyFont="1" applyFill="1" applyBorder="1" applyAlignment="1" applyProtection="1">
      <alignment horizontal="right" vertical="center"/>
      <protection locked="0"/>
    </xf>
    <xf numFmtId="0" fontId="10" fillId="17" borderId="59" xfId="6" applyFont="1" applyFill="1" applyBorder="1" applyAlignment="1" applyProtection="1">
      <alignment horizontal="center" vertical="center"/>
    </xf>
    <xf numFmtId="0" fontId="10" fillId="17" borderId="7" xfId="6" applyFont="1" applyFill="1" applyBorder="1" applyAlignment="1" applyProtection="1">
      <alignment horizontal="center" vertical="center"/>
    </xf>
    <xf numFmtId="0" fontId="10" fillId="17" borderId="29" xfId="6" applyFont="1" applyFill="1" applyBorder="1" applyAlignment="1" applyProtection="1">
      <alignment vertical="center" wrapText="1"/>
    </xf>
    <xf numFmtId="0" fontId="10" fillId="0" borderId="192" xfId="9" applyFont="1" applyBorder="1" applyAlignment="1">
      <alignment horizontal="right" vertical="center" wrapText="1"/>
    </xf>
    <xf numFmtId="0" fontId="10" fillId="0" borderId="22" xfId="9" applyFont="1" applyBorder="1" applyAlignment="1">
      <alignment horizontal="right" vertical="center" wrapText="1"/>
    </xf>
    <xf numFmtId="49" fontId="10" fillId="0" borderId="0" xfId="0" applyNumberFormat="1" applyFont="1" applyBorder="1" applyAlignment="1" applyProtection="1">
      <alignment vertical="center"/>
      <protection hidden="1"/>
    </xf>
    <xf numFmtId="38" fontId="10" fillId="0" borderId="20" xfId="2" applyFont="1" applyBorder="1" applyAlignment="1">
      <alignment horizontal="left" vertical="center" indent="2"/>
    </xf>
    <xf numFmtId="49" fontId="10" fillId="0" borderId="129" xfId="0" applyNumberFormat="1" applyFont="1" applyBorder="1" applyAlignment="1" applyProtection="1">
      <alignment vertical="center"/>
      <protection hidden="1"/>
    </xf>
    <xf numFmtId="38" fontId="10" fillId="0" borderId="176" xfId="0" applyNumberFormat="1" applyFont="1" applyBorder="1" applyAlignment="1" applyProtection="1">
      <alignment vertical="center"/>
      <protection hidden="1"/>
    </xf>
    <xf numFmtId="49" fontId="10" fillId="0" borderId="128" xfId="0" applyNumberFormat="1" applyFont="1" applyBorder="1" applyAlignment="1" applyProtection="1">
      <alignment horizontal="center" vertical="center"/>
      <protection hidden="1"/>
    </xf>
    <xf numFmtId="38" fontId="10" fillId="0" borderId="130" xfId="2" applyFont="1" applyFill="1" applyBorder="1" applyAlignment="1" applyProtection="1">
      <alignment vertical="center"/>
      <protection locked="0"/>
    </xf>
    <xf numFmtId="0" fontId="10" fillId="0" borderId="202" xfId="9" applyFont="1" applyBorder="1" applyAlignment="1">
      <alignment horizontal="right" vertical="center" wrapText="1"/>
    </xf>
    <xf numFmtId="0" fontId="10" fillId="0" borderId="23" xfId="9" applyFont="1" applyBorder="1" applyAlignment="1">
      <alignment horizontal="right" vertical="center" wrapText="1"/>
    </xf>
    <xf numFmtId="0" fontId="3" fillId="0" borderId="23" xfId="9" applyFont="1" applyBorder="1" applyAlignment="1">
      <alignment horizontal="right" vertical="center"/>
    </xf>
    <xf numFmtId="178" fontId="3" fillId="2" borderId="190" xfId="9" applyNumberFormat="1" applyFont="1" applyFill="1" applyBorder="1" applyAlignment="1" applyProtection="1">
      <alignment horizontal="right" vertical="center"/>
      <protection locked="0"/>
    </xf>
    <xf numFmtId="0" fontId="10" fillId="2" borderId="25" xfId="9" applyFont="1" applyFill="1" applyBorder="1" applyAlignment="1" applyProtection="1">
      <alignment vertical="center"/>
      <protection locked="0"/>
    </xf>
    <xf numFmtId="178" fontId="3" fillId="2" borderId="25" xfId="9" applyNumberFormat="1" applyFont="1" applyFill="1" applyBorder="1" applyAlignment="1" applyProtection="1">
      <alignment horizontal="right" vertical="center"/>
      <protection locked="0"/>
    </xf>
    <xf numFmtId="0" fontId="3" fillId="2" borderId="33" xfId="9" applyNumberFormat="1" applyFont="1" applyFill="1" applyBorder="1" applyAlignment="1" applyProtection="1">
      <alignment horizontal="right" vertical="center"/>
      <protection locked="0"/>
    </xf>
    <xf numFmtId="0" fontId="3" fillId="2" borderId="25" xfId="9" applyNumberFormat="1" applyFont="1" applyFill="1" applyBorder="1" applyAlignment="1" applyProtection="1">
      <alignment horizontal="right" vertical="center"/>
      <protection locked="0"/>
    </xf>
    <xf numFmtId="0" fontId="3" fillId="0" borderId="129" xfId="9" applyFont="1" applyBorder="1" applyAlignment="1">
      <alignment vertical="center"/>
    </xf>
    <xf numFmtId="0" fontId="10" fillId="0" borderId="129" xfId="9" applyFont="1" applyBorder="1" applyAlignment="1">
      <alignment vertical="center"/>
    </xf>
    <xf numFmtId="0" fontId="15" fillId="0" borderId="129" xfId="9" applyFont="1" applyBorder="1" applyAlignment="1">
      <alignment horizontal="center" vertical="center"/>
    </xf>
    <xf numFmtId="0" fontId="3" fillId="0" borderId="129" xfId="9" applyFont="1" applyBorder="1" applyAlignment="1" applyProtection="1">
      <alignment vertical="center"/>
    </xf>
    <xf numFmtId="0" fontId="9" fillId="0" borderId="129" xfId="9" applyFont="1" applyBorder="1" applyAlignment="1">
      <alignment horizontal="right" vertical="center"/>
    </xf>
    <xf numFmtId="0" fontId="7" fillId="0" borderId="0" xfId="0" applyFont="1" applyBorder="1" applyAlignment="1">
      <alignment horizontal="left" vertical="center"/>
    </xf>
    <xf numFmtId="0" fontId="19" fillId="0" borderId="109" xfId="0" applyFont="1" applyBorder="1" applyAlignment="1">
      <alignment vertical="center"/>
    </xf>
    <xf numFmtId="0" fontId="8" fillId="0" borderId="109" xfId="0" applyFont="1" applyBorder="1" applyAlignment="1">
      <alignment vertical="center"/>
    </xf>
    <xf numFmtId="0" fontId="8" fillId="0" borderId="109" xfId="0" applyFont="1" applyFill="1" applyBorder="1" applyAlignment="1" applyProtection="1">
      <alignment horizontal="left" vertical="center"/>
      <protection hidden="1"/>
    </xf>
    <xf numFmtId="0" fontId="8" fillId="0" borderId="10" xfId="0" applyFont="1" applyBorder="1" applyAlignment="1">
      <alignment horizontal="center" vertical="center"/>
    </xf>
    <xf numFmtId="0" fontId="10" fillId="14" borderId="203" xfId="0" applyFont="1" applyFill="1" applyBorder="1" applyAlignment="1" applyProtection="1">
      <alignment horizontal="center" vertical="center"/>
      <protection locked="0"/>
    </xf>
    <xf numFmtId="0" fontId="8" fillId="0" borderId="27" xfId="0" applyFont="1" applyBorder="1" applyAlignment="1">
      <alignment horizontal="center" vertical="center"/>
    </xf>
    <xf numFmtId="14" fontId="10" fillId="14" borderId="25" xfId="0" applyNumberFormat="1" applyFont="1" applyFill="1" applyBorder="1" applyAlignment="1" applyProtection="1">
      <alignment horizontal="right" vertical="center"/>
      <protection locked="0"/>
    </xf>
    <xf numFmtId="14" fontId="12" fillId="0" borderId="0" xfId="0" applyNumberFormat="1" applyFont="1" applyFill="1" applyAlignment="1">
      <alignment vertical="center"/>
    </xf>
    <xf numFmtId="0" fontId="10" fillId="14" borderId="25" xfId="0" applyNumberFormat="1" applyFont="1" applyFill="1" applyBorder="1" applyAlignment="1" applyProtection="1">
      <alignment horizontal="right" vertical="center"/>
      <protection locked="0"/>
    </xf>
    <xf numFmtId="0" fontId="8" fillId="0" borderId="185" xfId="0" applyFont="1" applyBorder="1" applyAlignment="1">
      <alignment vertical="center"/>
    </xf>
    <xf numFmtId="0" fontId="8" fillId="0" borderId="45" xfId="0" applyFont="1" applyBorder="1" applyAlignment="1">
      <alignment vertical="center"/>
    </xf>
    <xf numFmtId="0" fontId="8" fillId="0" borderId="45" xfId="0" applyFont="1" applyBorder="1"/>
    <xf numFmtId="3" fontId="10" fillId="2" borderId="194" xfId="0" applyNumberFormat="1" applyFont="1" applyFill="1" applyBorder="1" applyProtection="1">
      <protection locked="0"/>
    </xf>
    <xf numFmtId="3" fontId="10" fillId="2" borderId="33" xfId="0" applyNumberFormat="1" applyFont="1" applyFill="1" applyBorder="1" applyProtection="1">
      <protection locked="0"/>
    </xf>
    <xf numFmtId="0" fontId="15" fillId="0" borderId="52" xfId="9" applyFont="1" applyBorder="1" applyAlignment="1" applyProtection="1">
      <alignment horizontal="center" vertical="center"/>
      <protection hidden="1"/>
    </xf>
    <xf numFmtId="0" fontId="15" fillId="0" borderId="53" xfId="9" applyFont="1" applyBorder="1" applyAlignment="1" applyProtection="1">
      <alignment horizontal="center" vertical="center"/>
      <protection hidden="1"/>
    </xf>
    <xf numFmtId="0" fontId="15" fillId="0" borderId="54" xfId="9" applyFont="1" applyBorder="1" applyAlignment="1" applyProtection="1">
      <alignment horizontal="center" vertical="center"/>
      <protection hidden="1"/>
    </xf>
    <xf numFmtId="0" fontId="7" fillId="0" borderId="29" xfId="0" applyFont="1" applyFill="1" applyBorder="1" applyAlignment="1">
      <alignment vertical="center"/>
    </xf>
    <xf numFmtId="0" fontId="7" fillId="0" borderId="30" xfId="0" applyFont="1" applyFill="1" applyBorder="1" applyAlignment="1">
      <alignment vertical="center"/>
    </xf>
    <xf numFmtId="0" fontId="0" fillId="10" borderId="7" xfId="0" applyFill="1" applyBorder="1"/>
    <xf numFmtId="0" fontId="3" fillId="10" borderId="0" xfId="0" applyFont="1" applyFill="1" applyBorder="1" applyAlignment="1">
      <alignment vertical="center"/>
    </xf>
    <xf numFmtId="0" fontId="0" fillId="0" borderId="0" xfId="0" applyBorder="1"/>
    <xf numFmtId="0" fontId="10" fillId="2" borderId="22" xfId="0" applyNumberFormat="1" applyFont="1" applyFill="1" applyBorder="1" applyAlignment="1" applyProtection="1">
      <alignment horizontal="right" vertical="center" wrapText="1"/>
      <protection locked="0"/>
    </xf>
    <xf numFmtId="0" fontId="51" fillId="0" borderId="189" xfId="9" applyFont="1" applyBorder="1" applyAlignment="1" applyProtection="1">
      <alignment horizontal="center" vertical="center"/>
      <protection hidden="1"/>
    </xf>
    <xf numFmtId="0" fontId="51" fillId="0" borderId="37" xfId="9" applyFont="1" applyBorder="1" applyAlignment="1" applyProtection="1">
      <alignment horizontal="center" vertical="center"/>
      <protection hidden="1"/>
    </xf>
    <xf numFmtId="0" fontId="51" fillId="0" borderId="27" xfId="9" applyFont="1" applyBorder="1" applyAlignment="1" applyProtection="1">
      <alignment horizontal="center" vertical="center"/>
      <protection hidden="1"/>
    </xf>
    <xf numFmtId="0" fontId="51" fillId="0" borderId="198" xfId="9" applyFont="1" applyBorder="1" applyAlignment="1" applyProtection="1">
      <alignment horizontal="center" vertical="center"/>
      <protection hidden="1"/>
    </xf>
    <xf numFmtId="0" fontId="51" fillId="0" borderId="28" xfId="9" applyFont="1" applyBorder="1" applyAlignment="1" applyProtection="1">
      <alignment horizontal="center" vertical="center"/>
      <protection hidden="1"/>
    </xf>
    <xf numFmtId="0" fontId="3" fillId="0" borderId="14" xfId="0" applyFont="1" applyFill="1" applyBorder="1" applyAlignment="1">
      <alignment vertical="center"/>
    </xf>
    <xf numFmtId="0" fontId="3" fillId="0" borderId="18" xfId="0" applyFont="1" applyFill="1" applyBorder="1" applyAlignment="1">
      <alignment vertical="center"/>
    </xf>
    <xf numFmtId="0" fontId="3" fillId="0" borderId="20" xfId="0" applyFont="1" applyFill="1" applyBorder="1" applyAlignment="1" applyProtection="1">
      <alignment horizontal="center" vertical="center"/>
      <protection hidden="1"/>
    </xf>
    <xf numFmtId="0" fontId="0" fillId="0" borderId="19" xfId="0" applyFont="1" applyFill="1" applyBorder="1" applyAlignment="1">
      <alignment horizontal="left" vertical="center" wrapText="1"/>
    </xf>
    <xf numFmtId="38" fontId="10" fillId="3" borderId="21" xfId="2" applyFont="1" applyFill="1" applyBorder="1" applyAlignment="1" applyProtection="1">
      <alignment horizontal="right" vertical="center"/>
    </xf>
    <xf numFmtId="9" fontId="0" fillId="0" borderId="0" xfId="1" applyFont="1" applyAlignment="1">
      <alignment vertical="center"/>
    </xf>
    <xf numFmtId="0" fontId="10" fillId="0" borderId="7" xfId="0" applyFont="1" applyBorder="1" applyAlignment="1">
      <alignment vertical="center"/>
    </xf>
    <xf numFmtId="0" fontId="0" fillId="0" borderId="0" xfId="0" applyAlignment="1">
      <alignment vertical="center"/>
    </xf>
    <xf numFmtId="0" fontId="10" fillId="0" borderId="7" xfId="0" applyFont="1" applyBorder="1" applyAlignment="1" applyProtection="1">
      <alignment vertical="center"/>
      <protection hidden="1"/>
    </xf>
    <xf numFmtId="0" fontId="10" fillId="0" borderId="8" xfId="0" applyFont="1" applyBorder="1" applyAlignment="1">
      <alignment vertical="center"/>
    </xf>
    <xf numFmtId="0" fontId="0" fillId="0" borderId="7" xfId="0" applyBorder="1" applyAlignment="1" applyProtection="1">
      <alignment horizontal="center" vertical="center"/>
      <protection hidden="1"/>
    </xf>
    <xf numFmtId="0" fontId="48" fillId="0" borderId="0" xfId="8" applyFont="1" applyAlignment="1" applyProtection="1">
      <alignment horizontal="left" vertical="center"/>
      <protection hidden="1"/>
    </xf>
    <xf numFmtId="0" fontId="48" fillId="0" borderId="0" xfId="8" applyFont="1" applyAlignment="1">
      <alignment horizontal="left" vertical="center"/>
    </xf>
    <xf numFmtId="0" fontId="7" fillId="0" borderId="0" xfId="8">
      <alignment vertical="center"/>
    </xf>
    <xf numFmtId="176" fontId="8" fillId="0" borderId="0" xfId="8" applyNumberFormat="1" applyFont="1" applyProtection="1">
      <alignment vertical="center"/>
      <protection hidden="1"/>
    </xf>
    <xf numFmtId="0" fontId="8" fillId="0" borderId="0" xfId="8" applyFont="1">
      <alignment vertical="center"/>
    </xf>
    <xf numFmtId="0" fontId="48" fillId="4" borderId="0" xfId="8" applyFont="1" applyFill="1" applyAlignment="1" applyProtection="1">
      <alignment horizontal="left" vertical="center"/>
      <protection hidden="1"/>
    </xf>
    <xf numFmtId="0" fontId="48" fillId="4" borderId="0" xfId="8" applyFont="1" applyFill="1" applyAlignment="1">
      <alignment horizontal="left" vertical="center"/>
    </xf>
    <xf numFmtId="0" fontId="48" fillId="0" borderId="0" xfId="8" quotePrefix="1" applyFont="1" applyAlignment="1" applyProtection="1">
      <alignment horizontal="left" vertical="center"/>
      <protection hidden="1"/>
    </xf>
    <xf numFmtId="38" fontId="10" fillId="14" borderId="130" xfId="2" applyFont="1" applyFill="1" applyBorder="1" applyAlignment="1" applyProtection="1">
      <alignment vertical="center" wrapText="1"/>
      <protection locked="0"/>
    </xf>
    <xf numFmtId="0" fontId="68" fillId="0" borderId="0" xfId="8" applyFont="1" applyAlignment="1">
      <alignment horizontal="left" vertical="center"/>
    </xf>
    <xf numFmtId="176" fontId="48" fillId="0" borderId="0" xfId="8" applyNumberFormat="1" applyFont="1" applyAlignment="1">
      <alignment horizontal="left" vertical="center"/>
    </xf>
    <xf numFmtId="0" fontId="3" fillId="0" borderId="7" xfId="0" applyFont="1" applyBorder="1" applyAlignment="1">
      <alignment horizontal="center" vertical="center"/>
    </xf>
    <xf numFmtId="0" fontId="27" fillId="0" borderId="0" xfId="0" applyFont="1" applyAlignment="1">
      <alignment horizontal="right"/>
    </xf>
    <xf numFmtId="0" fontId="16" fillId="0" borderId="0" xfId="0" applyFont="1" applyAlignment="1">
      <alignment horizontal="center" vertical="center" wrapText="1"/>
    </xf>
    <xf numFmtId="0" fontId="10" fillId="8" borderId="0" xfId="0" applyFont="1" applyFill="1" applyAlignment="1">
      <alignment vertical="center"/>
    </xf>
    <xf numFmtId="0" fontId="0" fillId="8" borderId="0" xfId="0" applyFill="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3" fillId="0" borderId="0" xfId="0" applyFont="1" applyAlignment="1">
      <alignment horizontal="centerContinuous" vertical="center"/>
    </xf>
    <xf numFmtId="0" fontId="3" fillId="8" borderId="0" xfId="0" applyFont="1" applyFill="1" applyAlignment="1" applyProtection="1">
      <alignment vertical="center"/>
      <protection hidden="1"/>
    </xf>
    <xf numFmtId="0" fontId="0" fillId="8" borderId="0" xfId="0" applyFill="1" applyAlignment="1" applyProtection="1">
      <alignment horizontal="center" vertical="center"/>
      <protection hidden="1"/>
    </xf>
    <xf numFmtId="0" fontId="3" fillId="0" borderId="0" xfId="0" applyFont="1" applyAlignment="1">
      <alignment horizontal="left" vertical="center"/>
    </xf>
    <xf numFmtId="0" fontId="0" fillId="0" borderId="0" xfId="0" applyAlignment="1">
      <alignment horizontal="left" vertical="center"/>
    </xf>
    <xf numFmtId="0" fontId="3" fillId="0" borderId="0" xfId="2" applyNumberFormat="1" applyFont="1" applyFill="1" applyBorder="1" applyAlignment="1" applyProtection="1">
      <alignment vertical="top"/>
      <protection locked="0"/>
    </xf>
    <xf numFmtId="0" fontId="10" fillId="0" borderId="0" xfId="0" applyFont="1" applyAlignment="1">
      <alignment vertical="center" wrapText="1"/>
    </xf>
    <xf numFmtId="0" fontId="0" fillId="19" borderId="7" xfId="0" applyFill="1" applyBorder="1" applyAlignment="1">
      <alignment vertical="center"/>
    </xf>
    <xf numFmtId="0" fontId="8" fillId="0" borderId="0" xfId="0" applyFont="1" applyAlignment="1">
      <alignment horizontal="left" vertical="center"/>
    </xf>
    <xf numFmtId="183" fontId="3" fillId="0" borderId="0" xfId="2" applyNumberFormat="1" applyFont="1" applyFill="1" applyBorder="1" applyAlignment="1" applyProtection="1">
      <alignment vertical="top"/>
      <protection locked="0"/>
    </xf>
    <xf numFmtId="0" fontId="0" fillId="27" borderId="7" xfId="0" applyFill="1" applyBorder="1" applyAlignment="1">
      <alignment vertical="center"/>
    </xf>
    <xf numFmtId="0" fontId="0" fillId="0" borderId="8" xfId="0" applyBorder="1" applyAlignment="1">
      <alignment horizontal="centerContinuous" vertical="center"/>
    </xf>
    <xf numFmtId="0" fontId="0" fillId="0" borderId="129" xfId="0" applyBorder="1" applyAlignment="1">
      <alignment horizontal="centerContinuous" vertical="center"/>
    </xf>
    <xf numFmtId="0" fontId="0" fillId="0" borderId="130" xfId="0" applyBorder="1" applyAlignment="1">
      <alignment horizontal="centerContinuous" vertical="center"/>
    </xf>
    <xf numFmtId="0" fontId="3" fillId="0" borderId="8" xfId="0" applyFont="1" applyBorder="1" applyAlignment="1" applyProtection="1">
      <alignment vertical="center"/>
      <protection hidden="1"/>
    </xf>
    <xf numFmtId="0" fontId="3" fillId="0" borderId="130" xfId="0" applyFont="1" applyBorder="1" applyAlignment="1">
      <alignment horizontal="centerContinuous" vertical="center"/>
    </xf>
    <xf numFmtId="0" fontId="10" fillId="19" borderId="7" xfId="0" applyFont="1" applyFill="1" applyBorder="1" applyAlignment="1">
      <alignment horizontal="center" vertical="center"/>
    </xf>
    <xf numFmtId="0" fontId="10" fillId="19" borderId="129" xfId="0" applyFont="1" applyFill="1" applyBorder="1" applyAlignment="1">
      <alignment vertical="center"/>
    </xf>
    <xf numFmtId="0" fontId="10" fillId="19" borderId="130" xfId="0" applyFont="1" applyFill="1" applyBorder="1" applyAlignment="1">
      <alignment vertical="center"/>
    </xf>
    <xf numFmtId="38" fontId="3" fillId="2" borderId="130" xfId="2" applyFill="1" applyBorder="1" applyAlignment="1" applyProtection="1">
      <alignment vertical="center"/>
      <protection locked="0"/>
    </xf>
    <xf numFmtId="0" fontId="0" fillId="0" borderId="0" xfId="0" applyAlignment="1" applyProtection="1">
      <alignment horizontal="center" vertical="center"/>
      <protection hidden="1"/>
    </xf>
    <xf numFmtId="0" fontId="10" fillId="19" borderId="8" xfId="0" applyFont="1" applyFill="1" applyBorder="1" applyAlignment="1">
      <alignment vertical="center"/>
    </xf>
    <xf numFmtId="0" fontId="10" fillId="19" borderId="109" xfId="0" applyFont="1" applyFill="1" applyBorder="1" applyAlignment="1">
      <alignment vertical="center"/>
    </xf>
    <xf numFmtId="0" fontId="10" fillId="19" borderId="112" xfId="0" applyFont="1" applyFill="1" applyBorder="1" applyAlignment="1">
      <alignment vertical="center"/>
    </xf>
    <xf numFmtId="0" fontId="10" fillId="27" borderId="7" xfId="0" applyFont="1" applyFill="1" applyBorder="1" applyAlignment="1">
      <alignment horizontal="center" vertical="center"/>
    </xf>
    <xf numFmtId="38" fontId="3" fillId="2" borderId="112" xfId="2" applyFont="1" applyFill="1" applyBorder="1" applyAlignment="1" applyProtection="1">
      <alignment vertical="center"/>
      <protection locked="0"/>
    </xf>
    <xf numFmtId="38" fontId="3" fillId="2" borderId="51" xfId="2" applyFont="1" applyFill="1" applyBorder="1" applyAlignment="1" applyProtection="1">
      <alignment vertical="center"/>
      <protection locked="0"/>
    </xf>
    <xf numFmtId="38" fontId="3" fillId="2" borderId="130" xfId="2" applyFont="1" applyFill="1" applyBorder="1" applyAlignment="1" applyProtection="1">
      <alignment vertical="center"/>
      <protection locked="0"/>
    </xf>
    <xf numFmtId="0" fontId="3" fillId="8" borderId="0" xfId="0" quotePrefix="1" applyFont="1" applyFill="1" applyAlignment="1" applyProtection="1">
      <alignment horizontal="center" vertical="center"/>
      <protection hidden="1"/>
    </xf>
    <xf numFmtId="0" fontId="10" fillId="27" borderId="131" xfId="0" applyFont="1" applyFill="1" applyBorder="1" applyAlignment="1">
      <alignment vertical="center"/>
    </xf>
    <xf numFmtId="0" fontId="10" fillId="27" borderId="109" xfId="0" applyFont="1" applyFill="1" applyBorder="1" applyAlignment="1">
      <alignment vertical="center" wrapText="1"/>
    </xf>
    <xf numFmtId="0" fontId="10" fillId="27" borderId="112" xfId="0" applyFont="1" applyFill="1" applyBorder="1" applyAlignment="1">
      <alignment vertical="center" wrapText="1"/>
    </xf>
    <xf numFmtId="0" fontId="10" fillId="27" borderId="0" xfId="0" applyFont="1" applyFill="1" applyAlignment="1">
      <alignment vertical="center"/>
    </xf>
    <xf numFmtId="0" fontId="10" fillId="27" borderId="42" xfId="0" applyFont="1" applyFill="1" applyBorder="1" applyAlignment="1">
      <alignment horizontal="centerContinuous" vertical="center"/>
    </xf>
    <xf numFmtId="0" fontId="10" fillId="27" borderId="19" xfId="0" applyFont="1" applyFill="1" applyBorder="1" applyAlignment="1">
      <alignment horizontal="centerContinuous" vertical="center"/>
    </xf>
    <xf numFmtId="0" fontId="10" fillId="27" borderId="11" xfId="0" applyFont="1" applyFill="1" applyBorder="1" applyAlignment="1">
      <alignment horizontal="centerContinuous" vertical="center"/>
    </xf>
    <xf numFmtId="0" fontId="10" fillId="27" borderId="21" xfId="0" applyFont="1" applyFill="1" applyBorder="1" applyAlignment="1">
      <alignment horizontal="centerContinuous" vertical="center"/>
    </xf>
    <xf numFmtId="38" fontId="10" fillId="2" borderId="49" xfId="2" applyFont="1" applyFill="1" applyBorder="1" applyAlignment="1" applyProtection="1">
      <alignment vertical="center"/>
      <protection locked="0"/>
    </xf>
    <xf numFmtId="0" fontId="3" fillId="0" borderId="0" xfId="0" applyFont="1" applyAlignment="1">
      <alignment horizontal="center" vertical="center"/>
    </xf>
    <xf numFmtId="0" fontId="12" fillId="8" borderId="0" xfId="0" applyFont="1" applyFill="1" applyAlignment="1">
      <alignment vertical="center"/>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10" fillId="27" borderId="109" xfId="0" applyFont="1" applyFill="1" applyBorder="1" applyAlignment="1">
      <alignment vertical="center"/>
    </xf>
    <xf numFmtId="0" fontId="10" fillId="27" borderId="112" xfId="0" applyFont="1" applyFill="1" applyBorder="1" applyAlignment="1">
      <alignment vertical="center"/>
    </xf>
    <xf numFmtId="38" fontId="3" fillId="2" borderId="112" xfId="2" applyFill="1" applyBorder="1" applyAlignment="1" applyProtection="1">
      <alignment vertical="center"/>
      <protection locked="0"/>
    </xf>
    <xf numFmtId="0" fontId="3" fillId="0" borderId="8" xfId="0" applyFont="1" applyBorder="1" applyAlignment="1">
      <alignment horizontal="centerContinuous" vertical="center"/>
    </xf>
    <xf numFmtId="38" fontId="3" fillId="3" borderId="130" xfId="2" applyFont="1" applyFill="1" applyBorder="1" applyAlignment="1" applyProtection="1">
      <alignment vertical="center"/>
      <protection hidden="1"/>
    </xf>
    <xf numFmtId="0" fontId="3" fillId="0" borderId="0" xfId="2" applyNumberFormat="1" applyFont="1" applyFill="1" applyBorder="1" applyAlignment="1" applyProtection="1">
      <alignment vertical="center"/>
      <protection locked="0"/>
    </xf>
    <xf numFmtId="0" fontId="0" fillId="0" borderId="7" xfId="0" applyFont="1" applyFill="1" applyBorder="1" applyAlignment="1">
      <alignment horizontal="center" vertical="center"/>
    </xf>
    <xf numFmtId="0" fontId="10" fillId="0" borderId="0" xfId="0" applyFont="1" applyAlignment="1" applyProtection="1">
      <alignment horizontal="left" vertical="center" wrapText="1"/>
      <protection locked="0"/>
    </xf>
    <xf numFmtId="0" fontId="15" fillId="0" borderId="0" xfId="0" applyFont="1" applyFill="1" applyAlignment="1" applyProtection="1">
      <alignment horizontal="center" vertical="center" wrapText="1"/>
      <protection hidden="1"/>
    </xf>
    <xf numFmtId="0" fontId="10" fillId="0" borderId="0" xfId="0" applyFont="1" applyFill="1" applyAlignment="1" applyProtection="1">
      <alignment horizontal="center" vertical="center" wrapText="1"/>
      <protection hidden="1"/>
    </xf>
    <xf numFmtId="0" fontId="0" fillId="0" borderId="53" xfId="0" applyFill="1" applyBorder="1" applyAlignment="1">
      <alignment horizontal="center" vertical="center"/>
    </xf>
    <xf numFmtId="0" fontId="3" fillId="0" borderId="8" xfId="0" applyFont="1" applyBorder="1" applyAlignment="1">
      <alignment horizontal="center" vertical="center"/>
    </xf>
    <xf numFmtId="0" fontId="10"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38" fontId="3" fillId="0" borderId="0" xfId="2"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21" fillId="0" borderId="0" xfId="0" applyFont="1" applyAlignment="1">
      <alignment horizontal="center" vertical="center"/>
    </xf>
    <xf numFmtId="0" fontId="51" fillId="0" borderId="0" xfId="0" applyFont="1" applyAlignment="1" applyProtection="1">
      <alignment horizontal="center" vertical="center" wrapText="1"/>
      <protection locked="0"/>
    </xf>
    <xf numFmtId="0" fontId="27" fillId="0" borderId="0" xfId="0" applyFont="1" applyAlignment="1" applyProtection="1">
      <alignment horizontal="right"/>
      <protection hidden="1"/>
    </xf>
    <xf numFmtId="0" fontId="22" fillId="0" borderId="7" xfId="0" applyFont="1" applyBorder="1" applyAlignment="1">
      <alignment vertical="center"/>
    </xf>
    <xf numFmtId="0" fontId="0" fillId="0" borderId="129" xfId="0" applyBorder="1" applyAlignment="1" applyProtection="1">
      <alignment horizontal="center" vertical="center"/>
      <protection hidden="1"/>
    </xf>
    <xf numFmtId="0" fontId="0" fillId="0" borderId="130" xfId="0" applyBorder="1" applyAlignment="1">
      <alignment vertical="center"/>
    </xf>
    <xf numFmtId="0" fontId="0" fillId="0" borderId="8" xfId="0" applyBorder="1" applyAlignment="1" applyProtection="1">
      <alignment horizontal="center" vertical="center"/>
      <protection hidden="1"/>
    </xf>
    <xf numFmtId="0" fontId="12" fillId="28" borderId="7" xfId="0" applyFont="1" applyFill="1" applyBorder="1" applyAlignment="1">
      <alignment vertical="center"/>
    </xf>
    <xf numFmtId="0" fontId="21" fillId="0" borderId="7" xfId="0" quotePrefix="1" applyFont="1" applyBorder="1" applyAlignment="1">
      <alignment vertical="center" wrapText="1"/>
    </xf>
    <xf numFmtId="0" fontId="0" fillId="0" borderId="129" xfId="0" applyBorder="1" applyAlignment="1" applyProtection="1">
      <alignment vertical="center"/>
      <protection hidden="1"/>
    </xf>
    <xf numFmtId="183" fontId="3" fillId="2" borderId="7" xfId="2" applyNumberFormat="1" applyFont="1" applyFill="1" applyBorder="1" applyAlignment="1" applyProtection="1">
      <alignment vertical="center"/>
      <protection locked="0"/>
    </xf>
    <xf numFmtId="0" fontId="0" fillId="2" borderId="8" xfId="0" applyFill="1" applyBorder="1" applyAlignment="1" applyProtection="1">
      <alignment horizontal="right" vertical="center"/>
      <protection locked="0"/>
    </xf>
    <xf numFmtId="0" fontId="22" fillId="0" borderId="7" xfId="0" quotePrefix="1" applyFont="1" applyBorder="1" applyAlignment="1">
      <alignment vertical="center"/>
    </xf>
    <xf numFmtId="38" fontId="3" fillId="0" borderId="24" xfId="2" applyFont="1" applyFill="1" applyBorder="1" applyAlignment="1" applyProtection="1">
      <alignment vertical="center"/>
      <protection hidden="1"/>
    </xf>
    <xf numFmtId="0" fontId="0" fillId="0" borderId="204" xfId="0" applyBorder="1" applyAlignment="1" applyProtection="1">
      <alignment horizontal="center" vertical="center"/>
      <protection hidden="1"/>
    </xf>
    <xf numFmtId="0" fontId="0" fillId="0" borderId="66" xfId="0" applyBorder="1" applyAlignment="1" applyProtection="1">
      <alignment horizontal="center" vertical="center"/>
      <protection hidden="1"/>
    </xf>
    <xf numFmtId="38" fontId="18" fillId="0" borderId="0" xfId="2" applyFont="1" applyFill="1" applyBorder="1" applyAlignment="1" applyProtection="1">
      <alignment horizontal="right" vertical="center"/>
      <protection hidden="1"/>
    </xf>
    <xf numFmtId="0" fontId="16" fillId="0" borderId="0" xfId="0" applyFont="1" applyAlignment="1">
      <alignment horizontal="center" vertical="center"/>
    </xf>
    <xf numFmtId="0" fontId="1" fillId="0" borderId="7" xfId="34" applyBorder="1" applyAlignment="1">
      <alignment horizontal="center" vertical="center"/>
    </xf>
    <xf numFmtId="0" fontId="1" fillId="25" borderId="7" xfId="34" applyFill="1" applyBorder="1" applyAlignment="1">
      <alignment horizontal="center" vertical="center"/>
    </xf>
    <xf numFmtId="0" fontId="1" fillId="0" borderId="0" xfId="34" applyAlignment="1">
      <alignment horizontal="center" vertical="center"/>
    </xf>
    <xf numFmtId="0" fontId="1" fillId="0" borderId="7" xfId="34" applyBorder="1">
      <alignment vertical="center"/>
    </xf>
    <xf numFmtId="0" fontId="1" fillId="0" borderId="7" xfId="34" applyBorder="1" applyAlignment="1">
      <alignment horizontal="right" vertical="center"/>
    </xf>
    <xf numFmtId="0" fontId="1" fillId="0" borderId="0" xfId="34">
      <alignment vertical="center"/>
    </xf>
    <xf numFmtId="185" fontId="27" fillId="0" borderId="0" xfId="0" applyNumberFormat="1" applyFont="1" applyAlignment="1">
      <alignment horizontal="right" vertical="center"/>
    </xf>
    <xf numFmtId="185" fontId="27" fillId="0" borderId="0" xfId="0" applyNumberFormat="1" applyFont="1" applyBorder="1" applyAlignment="1">
      <alignment horizontal="right" vertical="center"/>
    </xf>
    <xf numFmtId="185" fontId="27" fillId="0" borderId="7" xfId="0" applyNumberFormat="1" applyFont="1" applyBorder="1" applyAlignment="1">
      <alignment horizontal="center" vertical="center"/>
    </xf>
    <xf numFmtId="181" fontId="12" fillId="2" borderId="7" xfId="0" applyNumberFormat="1" applyFont="1" applyFill="1" applyBorder="1" applyAlignment="1" applyProtection="1">
      <alignment horizontal="center" vertical="center"/>
      <protection locked="0"/>
    </xf>
    <xf numFmtId="0" fontId="7" fillId="0" borderId="6" xfId="0" applyFont="1" applyFill="1" applyBorder="1" applyAlignment="1" applyProtection="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28" fillId="0" borderId="8" xfId="0" applyFont="1" applyFill="1" applyBorder="1" applyAlignment="1">
      <alignment horizontal="left" vertical="center" wrapText="1"/>
    </xf>
    <xf numFmtId="0" fontId="28" fillId="0" borderId="2" xfId="0" applyFont="1" applyFill="1" applyBorder="1" applyAlignment="1">
      <alignment horizontal="left" vertical="center"/>
    </xf>
    <xf numFmtId="0" fontId="28" fillId="0" borderId="1" xfId="0" applyFont="1" applyFill="1" applyBorder="1" applyAlignment="1">
      <alignment horizontal="left" vertical="center"/>
    </xf>
    <xf numFmtId="0" fontId="7" fillId="0" borderId="6" xfId="0" applyFont="1" applyFill="1" applyBorder="1" applyAlignment="1" applyProtection="1">
      <alignment vertical="center"/>
    </xf>
    <xf numFmtId="0" fontId="7" fillId="0" borderId="4" xfId="0"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55" fillId="0" borderId="69" xfId="0" applyFont="1" applyFill="1" applyBorder="1" applyAlignment="1" applyProtection="1">
      <alignment horizontal="center" vertical="center"/>
      <protection hidden="1"/>
    </xf>
    <xf numFmtId="0" fontId="0" fillId="0" borderId="13" xfId="0" applyBorder="1" applyAlignment="1">
      <alignment horizontal="center" vertical="center"/>
    </xf>
    <xf numFmtId="0" fontId="15" fillId="0" borderId="3" xfId="0" applyFont="1" applyBorder="1" applyAlignment="1">
      <alignmen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7" fillId="0" borderId="5" xfId="0" applyFont="1" applyFill="1" applyBorder="1" applyAlignment="1">
      <alignment vertical="center" wrapText="1"/>
    </xf>
    <xf numFmtId="0" fontId="7" fillId="0" borderId="20" xfId="0" applyFont="1" applyFill="1" applyBorder="1" applyAlignment="1">
      <alignment vertical="center" wrapText="1"/>
    </xf>
    <xf numFmtId="0" fontId="7" fillId="0" borderId="24" xfId="0" applyFont="1" applyFill="1" applyBorder="1" applyAlignment="1">
      <alignment vertical="center" wrapText="1"/>
    </xf>
    <xf numFmtId="0" fontId="16" fillId="0" borderId="74" xfId="0" applyFont="1" applyFill="1" applyBorder="1" applyAlignment="1" applyProtection="1">
      <alignment horizontal="center" vertical="center"/>
      <protection hidden="1"/>
    </xf>
    <xf numFmtId="0" fontId="16" fillId="0" borderId="48" xfId="0" applyFont="1" applyFill="1" applyBorder="1" applyAlignment="1" applyProtection="1">
      <alignment horizontal="center" vertical="center"/>
      <protection hidden="1"/>
    </xf>
    <xf numFmtId="0" fontId="16" fillId="0" borderId="42" xfId="0" applyFont="1" applyFill="1" applyBorder="1" applyAlignment="1" applyProtection="1">
      <alignment horizontal="center" vertical="center"/>
      <protection hidden="1"/>
    </xf>
    <xf numFmtId="0" fontId="10" fillId="2" borderId="75" xfId="0" applyFont="1" applyFill="1" applyBorder="1" applyAlignment="1" applyProtection="1">
      <alignment horizontal="left" vertical="center" wrapText="1"/>
      <protection locked="0"/>
    </xf>
    <xf numFmtId="0" fontId="10" fillId="2" borderId="76"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22" fillId="0" borderId="8"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10" fillId="0" borderId="12" xfId="0" applyFont="1" applyBorder="1" applyAlignment="1">
      <alignment vertical="center" wrapText="1"/>
    </xf>
    <xf numFmtId="0" fontId="10" fillId="0" borderId="22" xfId="0" applyFont="1" applyBorder="1" applyAlignment="1">
      <alignment vertical="center" wrapText="1"/>
    </xf>
    <xf numFmtId="0" fontId="10" fillId="0" borderId="3" xfId="0" applyFont="1" applyBorder="1" applyAlignment="1">
      <alignment vertical="center"/>
    </xf>
    <xf numFmtId="0" fontId="0" fillId="0" borderId="0" xfId="0" applyAlignment="1">
      <alignment vertical="center"/>
    </xf>
    <xf numFmtId="0" fontId="3" fillId="0" borderId="8"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8" fillId="0" borderId="7" xfId="0" applyFont="1" applyFill="1" applyBorder="1" applyAlignment="1">
      <alignment vertical="center" wrapText="1"/>
    </xf>
    <xf numFmtId="0" fontId="21" fillId="0" borderId="3" xfId="0" applyFont="1" applyFill="1" applyBorder="1" applyAlignment="1">
      <alignment vertical="center"/>
    </xf>
    <xf numFmtId="0" fontId="0" fillId="0" borderId="0" xfId="0" applyFill="1" applyAlignment="1">
      <alignment horizontal="center" vertical="center" wrapText="1"/>
    </xf>
    <xf numFmtId="0" fontId="0" fillId="0" borderId="17" xfId="0" applyFill="1" applyBorder="1" applyAlignment="1">
      <alignment vertical="center" wrapText="1"/>
    </xf>
    <xf numFmtId="0" fontId="0" fillId="0" borderId="0" xfId="0" applyFont="1" applyFill="1" applyAlignment="1">
      <alignment horizontal="center" vertical="center" wrapText="1"/>
    </xf>
    <xf numFmtId="0" fontId="10" fillId="2" borderId="12"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0" fillId="0" borderId="0" xfId="0" applyFont="1" applyFill="1" applyAlignment="1">
      <alignment horizontal="center" vertical="center"/>
    </xf>
    <xf numFmtId="0" fontId="0" fillId="0" borderId="17" xfId="0" applyFill="1" applyBorder="1" applyAlignment="1">
      <alignment vertical="center"/>
    </xf>
    <xf numFmtId="0" fontId="7" fillId="0" borderId="0" xfId="0" applyFont="1" applyFill="1" applyAlignment="1">
      <alignment horizontal="center" vertical="center"/>
    </xf>
    <xf numFmtId="0" fontId="10" fillId="0" borderId="8"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21" fillId="0" borderId="3" xfId="0" quotePrefix="1" applyFont="1" applyFill="1" applyBorder="1" applyAlignment="1">
      <alignment vertical="center"/>
    </xf>
    <xf numFmtId="0" fontId="9" fillId="0" borderId="15" xfId="0" applyFont="1" applyBorder="1" applyAlignment="1">
      <alignment vertical="center" wrapText="1"/>
    </xf>
    <xf numFmtId="0" fontId="9" fillId="0" borderId="31" xfId="0" applyFont="1" applyBorder="1" applyAlignment="1">
      <alignment vertical="center" wrapText="1"/>
    </xf>
    <xf numFmtId="0" fontId="9" fillId="4" borderId="4" xfId="0" applyFont="1" applyFill="1" applyBorder="1" applyAlignment="1" applyProtection="1">
      <alignment vertical="center" wrapText="1"/>
    </xf>
    <xf numFmtId="0" fontId="10" fillId="0" borderId="4" xfId="0" applyFont="1" applyBorder="1" applyAlignment="1">
      <alignment vertical="center" shrinkToFit="1"/>
    </xf>
    <xf numFmtId="0" fontId="10" fillId="0" borderId="5" xfId="0" applyFont="1" applyBorder="1" applyAlignment="1">
      <alignment vertical="center" shrinkToFit="1"/>
    </xf>
    <xf numFmtId="0" fontId="10" fillId="0" borderId="8"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6" xfId="0" applyFont="1" applyFill="1" applyBorder="1" applyAlignment="1" applyProtection="1">
      <alignment horizontal="center" vertical="center"/>
      <protection hidden="1"/>
    </xf>
    <xf numFmtId="0" fontId="10" fillId="0" borderId="4" xfId="0" applyFont="1" applyFill="1" applyBorder="1" applyAlignment="1" applyProtection="1">
      <alignment horizontal="center" vertical="center"/>
      <protection hidden="1"/>
    </xf>
    <xf numFmtId="0" fontId="10" fillId="0" borderId="5" xfId="0" applyFont="1" applyFill="1" applyBorder="1" applyAlignment="1" applyProtection="1">
      <alignment horizontal="center" vertical="center"/>
      <protection hidden="1"/>
    </xf>
    <xf numFmtId="0" fontId="10" fillId="2" borderId="8"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8" fillId="0" borderId="46"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19" fillId="10" borderId="0" xfId="0" applyFont="1" applyFill="1" applyAlignment="1">
      <alignment horizontal="left" vertical="center" wrapText="1"/>
    </xf>
    <xf numFmtId="0" fontId="8" fillId="10"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center" vertical="center" wrapText="1"/>
    </xf>
    <xf numFmtId="0" fontId="8" fillId="0" borderId="59" xfId="0" applyFont="1" applyBorder="1" applyAlignment="1">
      <alignment horizontal="center" vertical="center" wrapText="1"/>
    </xf>
    <xf numFmtId="9" fontId="8" fillId="0" borderId="46" xfId="0" applyNumberFormat="1" applyFont="1" applyFill="1" applyBorder="1" applyAlignment="1">
      <alignment horizontal="center" vertical="center" wrapText="1"/>
    </xf>
    <xf numFmtId="9" fontId="8" fillId="0" borderId="59" xfId="0" applyNumberFormat="1" applyFont="1" applyFill="1" applyBorder="1" applyAlignment="1">
      <alignment horizontal="center" vertical="center" wrapText="1"/>
    </xf>
    <xf numFmtId="0" fontId="0"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0" fillId="0" borderId="0" xfId="0" applyBorder="1" applyAlignment="1" applyProtection="1">
      <alignment vertical="center"/>
      <protection hidden="1"/>
    </xf>
    <xf numFmtId="0" fontId="0" fillId="0" borderId="0" xfId="0" applyBorder="1" applyAlignment="1">
      <alignment vertical="center"/>
    </xf>
    <xf numFmtId="0" fontId="10" fillId="0" borderId="8"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10" fillId="0" borderId="7" xfId="0" applyFont="1" applyBorder="1" applyAlignment="1">
      <alignment vertical="center"/>
    </xf>
    <xf numFmtId="0" fontId="9" fillId="0" borderId="7" xfId="0" applyFont="1" applyBorder="1" applyAlignment="1">
      <alignment horizontal="center" vertical="center"/>
    </xf>
    <xf numFmtId="0" fontId="10" fillId="0" borderId="0" xfId="0" applyFont="1" applyFill="1" applyBorder="1" applyAlignment="1">
      <alignment horizontal="left" vertical="center" wrapText="1"/>
    </xf>
    <xf numFmtId="0" fontId="0" fillId="2" borderId="8" xfId="0" applyFill="1" applyBorder="1" applyAlignment="1" applyProtection="1">
      <alignment vertical="center"/>
      <protection locked="0"/>
    </xf>
    <xf numFmtId="0" fontId="0" fillId="2" borderId="129" xfId="0" applyFill="1" applyBorder="1" applyAlignment="1" applyProtection="1">
      <alignment vertical="center"/>
      <protection locked="0"/>
    </xf>
    <xf numFmtId="0" fontId="0" fillId="2" borderId="130" xfId="0" applyFill="1" applyBorder="1" applyAlignment="1" applyProtection="1">
      <alignment vertical="center"/>
      <protection locked="0"/>
    </xf>
    <xf numFmtId="0" fontId="10" fillId="0" borderId="7"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0" fontId="10" fillId="0" borderId="18" xfId="0" applyFont="1" applyBorder="1" applyAlignment="1" applyProtection="1">
      <alignment horizontal="center" vertical="center"/>
      <protection hidden="1"/>
    </xf>
    <xf numFmtId="0" fontId="3" fillId="0" borderId="7" xfId="0" applyFont="1" applyBorder="1" applyAlignment="1">
      <alignment horizontal="left" vertical="center"/>
    </xf>
    <xf numFmtId="0" fontId="10" fillId="0" borderId="0" xfId="0" applyFont="1" applyAlignment="1" applyProtection="1">
      <alignment vertical="center" wrapText="1"/>
      <protection hidden="1"/>
    </xf>
    <xf numFmtId="0" fontId="0" fillId="0" borderId="8" xfId="0" applyBorder="1" applyAlignment="1" applyProtection="1">
      <alignment horizontal="center" vertical="center"/>
      <protection hidden="1"/>
    </xf>
    <xf numFmtId="0" fontId="0" fillId="0" borderId="130" xfId="0" applyBorder="1" applyAlignment="1" applyProtection="1">
      <alignment horizontal="center" vertical="center"/>
      <protection hidden="1"/>
    </xf>
    <xf numFmtId="0" fontId="10" fillId="2" borderId="19"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xf>
    <xf numFmtId="0" fontId="9" fillId="0" borderId="58"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0" fillId="0" borderId="8" xfId="0" applyBorder="1" applyAlignment="1">
      <alignment horizontal="left" vertical="center"/>
    </xf>
    <xf numFmtId="0" fontId="10" fillId="2" borderId="129" xfId="0" applyFont="1" applyFill="1" applyBorder="1" applyAlignment="1" applyProtection="1">
      <alignment horizontal="left" vertical="center" wrapText="1"/>
      <protection locked="0"/>
    </xf>
    <xf numFmtId="0" fontId="10" fillId="2" borderId="130" xfId="0" applyFont="1" applyFill="1" applyBorder="1" applyAlignment="1" applyProtection="1">
      <alignment horizontal="left" vertical="center" wrapText="1"/>
      <protection locked="0"/>
    </xf>
    <xf numFmtId="0" fontId="22" fillId="0" borderId="18" xfId="0" applyFont="1" applyBorder="1" applyAlignment="1">
      <alignment vertical="center" wrapText="1"/>
    </xf>
    <xf numFmtId="0" fontId="10" fillId="0" borderId="17" xfId="0" applyFont="1" applyBorder="1" applyAlignment="1">
      <alignment vertical="center"/>
    </xf>
    <xf numFmtId="0" fontId="10" fillId="2" borderId="64"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0" fillId="0" borderId="17" xfId="0" applyBorder="1" applyAlignment="1"/>
    <xf numFmtId="0" fontId="9" fillId="0" borderId="0" xfId="0" applyFont="1" applyFill="1" applyBorder="1" applyAlignment="1" applyProtection="1">
      <alignment horizontal="center" vertical="center"/>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8" xfId="0" applyFont="1" applyFill="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10" fillId="0" borderId="6" xfId="21" applyFont="1" applyBorder="1" applyAlignment="1" applyProtection="1">
      <alignment horizontal="center" vertical="center"/>
      <protection hidden="1"/>
    </xf>
    <xf numFmtId="0" fontId="0" fillId="0" borderId="5" xfId="0" applyBorder="1"/>
    <xf numFmtId="0" fontId="0" fillId="0" borderId="18" xfId="0" applyBorder="1"/>
    <xf numFmtId="0" fontId="0" fillId="0" borderId="24" xfId="0" applyBorder="1"/>
    <xf numFmtId="0" fontId="3" fillId="0" borderId="11" xfId="0" applyFont="1" applyBorder="1" applyAlignment="1">
      <alignment vertical="center" wrapText="1"/>
    </xf>
    <xf numFmtId="0" fontId="3" fillId="0" borderId="21" xfId="0" applyFont="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0" fillId="0" borderId="7" xfId="0" applyBorder="1" applyAlignment="1">
      <alignment horizontal="left" vertical="center" wrapText="1"/>
    </xf>
    <xf numFmtId="0" fontId="10" fillId="0" borderId="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8" xfId="0" applyFont="1" applyBorder="1" applyAlignment="1">
      <alignment horizontal="center" vertical="center"/>
    </xf>
    <xf numFmtId="0" fontId="10" fillId="0" borderId="129" xfId="0" applyFont="1" applyBorder="1" applyAlignment="1">
      <alignment horizontal="center" vertical="center"/>
    </xf>
    <xf numFmtId="0" fontId="10" fillId="0" borderId="130" xfId="0" applyFont="1" applyBorder="1" applyAlignment="1">
      <alignment horizontal="center" vertical="center"/>
    </xf>
    <xf numFmtId="0" fontId="10" fillId="0" borderId="8" xfId="0" applyFont="1" applyBorder="1" applyAlignment="1">
      <alignment vertical="center" wrapText="1"/>
    </xf>
    <xf numFmtId="0" fontId="10" fillId="0" borderId="129" xfId="0" applyFont="1" applyBorder="1" applyAlignment="1">
      <alignment vertical="center" wrapText="1"/>
    </xf>
    <xf numFmtId="0" fontId="10" fillId="0" borderId="130" xfId="0" applyFont="1" applyBorder="1" applyAlignment="1">
      <alignment vertical="center" wrapText="1"/>
    </xf>
    <xf numFmtId="0" fontId="10" fillId="0" borderId="7" xfId="0" applyFont="1" applyBorder="1" applyAlignment="1">
      <alignment horizontal="center" vertical="center"/>
    </xf>
    <xf numFmtId="0" fontId="10" fillId="0" borderId="7" xfId="0" applyFont="1" applyBorder="1" applyAlignment="1">
      <alignment vertical="center" wrapText="1"/>
    </xf>
    <xf numFmtId="0" fontId="10" fillId="19" borderId="8" xfId="0" applyFont="1" applyFill="1" applyBorder="1" applyAlignment="1">
      <alignment vertical="center" wrapText="1"/>
    </xf>
    <xf numFmtId="0" fontId="10" fillId="19" borderId="129" xfId="0" applyFont="1" applyFill="1" applyBorder="1" applyAlignment="1">
      <alignment vertical="center"/>
    </xf>
    <xf numFmtId="0" fontId="10" fillId="19" borderId="130" xfId="0" applyFont="1" applyFill="1" applyBorder="1" applyAlignment="1">
      <alignment vertical="center"/>
    </xf>
    <xf numFmtId="0" fontId="10" fillId="27" borderId="8" xfId="0" applyFont="1" applyFill="1" applyBorder="1" applyAlignment="1">
      <alignment vertical="center" wrapText="1"/>
    </xf>
    <xf numFmtId="0" fontId="10" fillId="27" borderId="129" xfId="0" applyFont="1" applyFill="1" applyBorder="1" applyAlignment="1">
      <alignment vertical="center" wrapText="1"/>
    </xf>
    <xf numFmtId="0" fontId="10" fillId="27" borderId="130" xfId="0" applyFont="1" applyFill="1" applyBorder="1" applyAlignment="1">
      <alignment vertical="center" wrapText="1"/>
    </xf>
    <xf numFmtId="0" fontId="10" fillId="27" borderId="129" xfId="0" applyFont="1" applyFill="1" applyBorder="1" applyAlignment="1">
      <alignment vertical="center"/>
    </xf>
    <xf numFmtId="0" fontId="10" fillId="27" borderId="130" xfId="0" applyFont="1" applyFill="1" applyBorder="1" applyAlignment="1">
      <alignment vertical="center"/>
    </xf>
    <xf numFmtId="0" fontId="10" fillId="27" borderId="8" xfId="0" applyFont="1" applyFill="1" applyBorder="1" applyAlignment="1">
      <alignment vertical="center"/>
    </xf>
    <xf numFmtId="0" fontId="10" fillId="27" borderId="135" xfId="0" applyFont="1" applyFill="1" applyBorder="1" applyAlignment="1">
      <alignment horizontal="center" vertical="center"/>
    </xf>
    <xf numFmtId="0" fontId="10" fillId="27" borderId="59" xfId="0" applyFont="1" applyFill="1" applyBorder="1" applyAlignment="1">
      <alignment horizontal="center" vertical="center"/>
    </xf>
    <xf numFmtId="0" fontId="3" fillId="2" borderId="135" xfId="0" quotePrefix="1" applyFont="1" applyFill="1" applyBorder="1" applyAlignment="1" applyProtection="1">
      <alignment horizontal="center" vertical="center"/>
      <protection locked="0"/>
    </xf>
    <xf numFmtId="0" fontId="3" fillId="2" borderId="59" xfId="0" quotePrefix="1" applyFont="1" applyFill="1" applyBorder="1" applyAlignment="1" applyProtection="1">
      <alignment horizontal="center" vertical="center"/>
      <protection locked="0"/>
    </xf>
    <xf numFmtId="0" fontId="10" fillId="0" borderId="0" xfId="0" applyFont="1" applyFill="1" applyAlignment="1" applyProtection="1">
      <alignment horizontal="left" vertical="center" wrapText="1"/>
      <protection locked="0"/>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0" fillId="14" borderId="12" xfId="0" applyFont="1" applyFill="1" applyBorder="1" applyAlignment="1" applyProtection="1">
      <alignment horizontal="left" vertical="center"/>
      <protection locked="0"/>
    </xf>
    <xf numFmtId="0" fontId="10" fillId="14" borderId="10" xfId="0" applyFont="1" applyFill="1" applyBorder="1" applyAlignment="1" applyProtection="1">
      <alignment horizontal="left" vertical="center"/>
      <protection locked="0"/>
    </xf>
    <xf numFmtId="0" fontId="10" fillId="14" borderId="27" xfId="0" applyFont="1" applyFill="1" applyBorder="1" applyAlignment="1" applyProtection="1">
      <alignment horizontal="left" vertical="center"/>
      <protection locked="0"/>
    </xf>
    <xf numFmtId="0" fontId="10" fillId="2" borderId="12" xfId="0" applyFont="1" applyFill="1" applyBorder="1" applyAlignment="1" applyProtection="1">
      <alignment vertical="center"/>
      <protection locked="0"/>
    </xf>
    <xf numFmtId="0" fontId="10" fillId="2" borderId="10"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10" fillId="0" borderId="7" xfId="0" applyFont="1" applyBorder="1" applyAlignment="1" applyProtection="1">
      <alignment vertical="center"/>
      <protection hidden="1"/>
    </xf>
    <xf numFmtId="0" fontId="10" fillId="0" borderId="3" xfId="0" applyFont="1" applyFill="1" applyBorder="1" applyAlignment="1" applyProtection="1">
      <alignment horizontal="center" vertical="center" wrapText="1"/>
      <protection hidden="1"/>
    </xf>
    <xf numFmtId="0" fontId="10" fillId="0" borderId="3" xfId="0" applyFont="1" applyFill="1" applyBorder="1" applyAlignment="1" applyProtection="1">
      <alignment horizontal="center" vertical="center"/>
      <protection hidden="1"/>
    </xf>
    <xf numFmtId="0" fontId="10" fillId="6" borderId="46" xfId="0" applyFont="1" applyFill="1" applyBorder="1" applyAlignment="1" applyProtection="1">
      <alignment horizontal="center" vertical="center" wrapText="1"/>
      <protection hidden="1"/>
    </xf>
    <xf numFmtId="0" fontId="10" fillId="6" borderId="58" xfId="0" applyFont="1" applyFill="1" applyBorder="1" applyAlignment="1" applyProtection="1">
      <alignment horizontal="center" vertical="center"/>
      <protection hidden="1"/>
    </xf>
    <xf numFmtId="0" fontId="10" fillId="6" borderId="59" xfId="0" applyFont="1" applyFill="1" applyBorder="1" applyAlignment="1" applyProtection="1">
      <alignment horizontal="center" vertical="center"/>
      <protection hidden="1"/>
    </xf>
    <xf numFmtId="0" fontId="10" fillId="0" borderId="46" xfId="0" applyFont="1" applyBorder="1" applyAlignment="1" applyProtection="1">
      <alignment horizontal="center" vertical="center" wrapText="1"/>
      <protection hidden="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10" fillId="0" borderId="5" xfId="0" applyFont="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10" fillId="0" borderId="59" xfId="0" applyFont="1" applyBorder="1" applyAlignment="1" applyProtection="1">
      <alignment horizontal="center" vertical="center" wrapText="1"/>
      <protection hidden="1"/>
    </xf>
    <xf numFmtId="0" fontId="10" fillId="0" borderId="46" xfId="0" applyFont="1" applyBorder="1" applyAlignment="1" applyProtection="1">
      <alignment horizontal="center" vertical="center"/>
      <protection hidden="1"/>
    </xf>
    <xf numFmtId="0" fontId="10" fillId="0" borderId="58" xfId="0" applyFont="1" applyBorder="1" applyAlignment="1" applyProtection="1">
      <alignment horizontal="center" vertical="center"/>
      <protection hidden="1"/>
    </xf>
    <xf numFmtId="0" fontId="10" fillId="0" borderId="8" xfId="0" applyFont="1" applyBorder="1" applyAlignment="1" applyProtection="1">
      <alignment vertical="center" wrapText="1"/>
      <protection hidden="1"/>
    </xf>
    <xf numFmtId="0" fontId="10" fillId="0" borderId="2" xfId="0" applyFont="1" applyBorder="1" applyAlignment="1" applyProtection="1">
      <alignment vertical="center" wrapText="1"/>
      <protection hidden="1"/>
    </xf>
    <xf numFmtId="0" fontId="10" fillId="0" borderId="1" xfId="0" applyFont="1" applyBorder="1" applyAlignment="1" applyProtection="1">
      <alignment vertical="center" wrapText="1"/>
      <protection hidden="1"/>
    </xf>
    <xf numFmtId="0" fontId="76" fillId="0" borderId="64" xfId="9" applyFont="1" applyBorder="1" applyAlignment="1">
      <alignment vertical="center" wrapText="1"/>
    </xf>
    <xf numFmtId="0" fontId="76" fillId="0" borderId="31" xfId="9" applyFont="1" applyBorder="1" applyAlignment="1">
      <alignment vertical="center" wrapText="1"/>
    </xf>
    <xf numFmtId="0" fontId="10" fillId="2" borderId="19" xfId="9" applyFont="1" applyFill="1" applyBorder="1" applyAlignment="1" applyProtection="1">
      <alignment vertical="center"/>
      <protection locked="0"/>
    </xf>
    <xf numFmtId="0" fontId="10" fillId="2" borderId="11" xfId="9" applyFont="1" applyFill="1" applyBorder="1" applyAlignment="1" applyProtection="1">
      <alignment vertical="center"/>
      <protection locked="0"/>
    </xf>
    <xf numFmtId="0" fontId="10" fillId="2" borderId="12" xfId="9" applyFont="1" applyFill="1" applyBorder="1" applyAlignment="1" applyProtection="1">
      <alignment vertical="center"/>
      <protection locked="0"/>
    </xf>
    <xf numFmtId="0" fontId="10" fillId="2" borderId="10" xfId="9" applyFont="1" applyFill="1" applyBorder="1" applyAlignment="1" applyProtection="1">
      <alignment vertical="center"/>
      <protection locked="0"/>
    </xf>
    <xf numFmtId="0" fontId="10" fillId="2" borderId="12" xfId="9" applyFont="1" applyFill="1" applyBorder="1" applyAlignment="1" applyProtection="1">
      <alignment horizontal="center" vertical="center"/>
      <protection locked="0"/>
    </xf>
    <xf numFmtId="0" fontId="10" fillId="2" borderId="10" xfId="9" applyFont="1" applyFill="1" applyBorder="1" applyAlignment="1" applyProtection="1">
      <alignment horizontal="center" vertical="center"/>
      <protection locked="0"/>
    </xf>
    <xf numFmtId="0" fontId="10" fillId="2" borderId="22" xfId="9" applyFont="1" applyFill="1" applyBorder="1" applyAlignment="1" applyProtection="1">
      <alignment horizontal="center" vertical="center"/>
      <protection locked="0"/>
    </xf>
    <xf numFmtId="0" fontId="10" fillId="0" borderId="12" xfId="9" applyFont="1" applyFill="1" applyBorder="1" applyAlignment="1">
      <alignment horizontal="right" vertical="center"/>
    </xf>
    <xf numFmtId="0" fontId="10" fillId="0" borderId="22" xfId="9" applyFont="1" applyFill="1" applyBorder="1" applyAlignment="1">
      <alignment horizontal="right" vertical="center"/>
    </xf>
    <xf numFmtId="0" fontId="10" fillId="0" borderId="15" xfId="9" applyFont="1" applyBorder="1" applyAlignment="1">
      <alignment vertical="center" wrapText="1"/>
    </xf>
    <xf numFmtId="0" fontId="10" fillId="0" borderId="31" xfId="9" applyFont="1" applyBorder="1" applyAlignment="1">
      <alignment vertical="center" wrapText="1"/>
    </xf>
    <xf numFmtId="0" fontId="10" fillId="0" borderId="12" xfId="9" applyFont="1" applyFill="1" applyBorder="1" applyAlignment="1">
      <alignment horizontal="right" vertical="center" wrapText="1"/>
    </xf>
    <xf numFmtId="0" fontId="10" fillId="0" borderId="22" xfId="9" applyFont="1" applyFill="1" applyBorder="1" applyAlignment="1">
      <alignment horizontal="right" vertical="center" wrapText="1"/>
    </xf>
    <xf numFmtId="0" fontId="10" fillId="0" borderId="44" xfId="9" applyFont="1" applyFill="1" applyBorder="1" applyAlignment="1">
      <alignment horizontal="right" vertical="center" wrapText="1"/>
    </xf>
    <xf numFmtId="0" fontId="0" fillId="0" borderId="72" xfId="0" applyBorder="1" applyAlignment="1">
      <alignment horizontal="right" vertical="center" wrapText="1"/>
    </xf>
    <xf numFmtId="0" fontId="14" fillId="0" borderId="45" xfId="9" applyFont="1" applyFill="1" applyBorder="1" applyAlignment="1">
      <alignment horizontal="right" vertical="center"/>
    </xf>
    <xf numFmtId="0" fontId="0" fillId="0" borderId="20" xfId="0" applyBorder="1" applyAlignment="1">
      <alignment horizontal="right" vertical="center"/>
    </xf>
    <xf numFmtId="0" fontId="10" fillId="0" borderId="45" xfId="9" applyFont="1" applyFill="1" applyBorder="1" applyAlignment="1">
      <alignment horizontal="right" vertical="center"/>
    </xf>
    <xf numFmtId="0" fontId="10" fillId="0" borderId="56" xfId="9" applyFont="1" applyFill="1" applyBorder="1" applyAlignment="1">
      <alignment horizontal="right" vertical="center" wrapText="1"/>
    </xf>
    <xf numFmtId="0" fontId="10" fillId="0" borderId="24" xfId="9" applyFont="1" applyFill="1" applyBorder="1" applyAlignment="1">
      <alignment horizontal="right" vertical="center" wrapText="1"/>
    </xf>
    <xf numFmtId="0" fontId="10" fillId="0" borderId="56" xfId="9" applyFont="1" applyFill="1" applyBorder="1" applyAlignment="1">
      <alignment horizontal="right" vertical="center"/>
    </xf>
    <xf numFmtId="0" fontId="10" fillId="0" borderId="24" xfId="9" applyFont="1" applyFill="1" applyBorder="1" applyAlignment="1">
      <alignment horizontal="right" vertical="center"/>
    </xf>
    <xf numFmtId="0" fontId="10" fillId="0" borderId="20" xfId="9" applyFont="1" applyFill="1" applyBorder="1" applyAlignment="1">
      <alignment horizontal="right" vertical="center"/>
    </xf>
    <xf numFmtId="0" fontId="10" fillId="0" borderId="15" xfId="9" applyFont="1" applyBorder="1" applyAlignment="1">
      <alignment vertical="center"/>
    </xf>
    <xf numFmtId="0" fontId="10" fillId="0" borderId="31" xfId="9" applyFont="1" applyBorder="1" applyAlignment="1">
      <alignment vertical="center"/>
    </xf>
    <xf numFmtId="0" fontId="10" fillId="0" borderId="19" xfId="9" applyFont="1" applyFill="1" applyBorder="1" applyAlignment="1">
      <alignment horizontal="right" vertical="center" wrapText="1"/>
    </xf>
    <xf numFmtId="0" fontId="10" fillId="0" borderId="21" xfId="9" applyFont="1" applyFill="1" applyBorder="1" applyAlignment="1">
      <alignment horizontal="right" vertical="center" wrapText="1"/>
    </xf>
    <xf numFmtId="0" fontId="0" fillId="0" borderId="31" xfId="0" applyBorder="1" applyAlignment="1">
      <alignment vertical="center" wrapText="1"/>
    </xf>
    <xf numFmtId="0" fontId="10" fillId="0" borderId="192" xfId="9" applyFont="1" applyBorder="1" applyAlignment="1">
      <alignment horizontal="right" vertical="center" wrapText="1"/>
    </xf>
    <xf numFmtId="0" fontId="10" fillId="0" borderId="22" xfId="9" applyFont="1" applyBorder="1" applyAlignment="1">
      <alignment horizontal="right" vertical="center" wrapText="1"/>
    </xf>
    <xf numFmtId="0" fontId="3" fillId="0" borderId="22" xfId="0" applyFont="1" applyBorder="1" applyAlignment="1">
      <alignment horizontal="right" vertical="center" wrapText="1"/>
    </xf>
    <xf numFmtId="0" fontId="3" fillId="0" borderId="20" xfId="0" applyFont="1" applyBorder="1" applyAlignment="1">
      <alignment horizontal="right" vertical="center"/>
    </xf>
    <xf numFmtId="0" fontId="10" fillId="0" borderId="44" xfId="9" applyFont="1" applyFill="1" applyBorder="1" applyAlignment="1">
      <alignment horizontal="right" vertical="center"/>
    </xf>
    <xf numFmtId="0" fontId="3" fillId="0" borderId="72" xfId="0" applyFont="1" applyBorder="1" applyAlignment="1">
      <alignment horizontal="right" vertical="center"/>
    </xf>
    <xf numFmtId="0" fontId="10" fillId="0" borderId="2" xfId="9" applyFont="1" applyBorder="1" applyAlignment="1">
      <alignment vertical="center" wrapText="1"/>
    </xf>
    <xf numFmtId="0" fontId="10" fillId="0" borderId="1" xfId="9" applyFont="1" applyBorder="1" applyAlignment="1">
      <alignment vertical="center" wrapText="1"/>
    </xf>
    <xf numFmtId="0" fontId="10" fillId="0" borderId="15" xfId="9" applyFont="1" applyBorder="1" applyAlignment="1">
      <alignment horizontal="left" vertical="center" wrapText="1"/>
    </xf>
    <xf numFmtId="0" fontId="10" fillId="0" borderId="31" xfId="9" applyFont="1" applyBorder="1" applyAlignment="1">
      <alignment horizontal="left" vertical="center" wrapText="1"/>
    </xf>
    <xf numFmtId="0" fontId="10" fillId="0" borderId="45" xfId="9" applyFont="1" applyFill="1" applyBorder="1" applyAlignment="1">
      <alignment horizontal="right" vertical="center" wrapText="1"/>
    </xf>
    <xf numFmtId="0" fontId="3" fillId="0" borderId="31" xfId="0" applyFont="1" applyBorder="1" applyAlignment="1">
      <alignment vertical="center" wrapText="1"/>
    </xf>
    <xf numFmtId="180" fontId="10" fillId="2" borderId="19" xfId="9" applyNumberFormat="1" applyFont="1" applyFill="1" applyBorder="1" applyAlignment="1" applyProtection="1">
      <alignment horizontal="center" vertical="center"/>
      <protection locked="0"/>
    </xf>
    <xf numFmtId="180" fontId="10" fillId="2" borderId="11" xfId="9" applyNumberFormat="1" applyFont="1" applyFill="1" applyBorder="1" applyAlignment="1" applyProtection="1">
      <alignment horizontal="center" vertical="center"/>
      <protection locked="0"/>
    </xf>
    <xf numFmtId="180" fontId="10" fillId="2" borderId="21" xfId="9" applyNumberFormat="1" applyFont="1" applyFill="1" applyBorder="1" applyAlignment="1" applyProtection="1">
      <alignment horizontal="center" vertical="center"/>
      <protection locked="0"/>
    </xf>
    <xf numFmtId="0" fontId="3" fillId="0" borderId="72" xfId="0" applyFont="1" applyBorder="1" applyAlignment="1">
      <alignment horizontal="right" vertical="center" wrapText="1"/>
    </xf>
    <xf numFmtId="0" fontId="10" fillId="0" borderId="186" xfId="9" applyFont="1" applyBorder="1" applyAlignment="1">
      <alignment horizontal="right" vertical="center" wrapText="1"/>
    </xf>
    <xf numFmtId="0" fontId="10" fillId="0" borderId="187" xfId="9" applyFont="1" applyBorder="1" applyAlignment="1">
      <alignment horizontal="right" vertical="center" wrapText="1"/>
    </xf>
    <xf numFmtId="0" fontId="10" fillId="0" borderId="109" xfId="9" applyFont="1" applyFill="1" applyBorder="1" applyAlignment="1">
      <alignment vertical="center" wrapText="1"/>
    </xf>
    <xf numFmtId="0" fontId="3" fillId="0" borderId="112" xfId="0" applyFont="1" applyFill="1" applyBorder="1" applyAlignment="1">
      <alignment vertical="center" wrapText="1"/>
    </xf>
    <xf numFmtId="0" fontId="80" fillId="0" borderId="185" xfId="9" applyFont="1" applyBorder="1" applyAlignment="1">
      <alignment vertical="center" wrapText="1"/>
    </xf>
    <xf numFmtId="0" fontId="80" fillId="0" borderId="112" xfId="9" applyFont="1" applyBorder="1" applyAlignment="1">
      <alignment vertical="center" wrapText="1"/>
    </xf>
    <xf numFmtId="0" fontId="10" fillId="0" borderId="201" xfId="9" applyFont="1" applyBorder="1" applyAlignment="1">
      <alignment horizontal="right" vertical="center" wrapText="1"/>
    </xf>
    <xf numFmtId="0" fontId="10" fillId="0" borderId="21" xfId="9" applyFont="1" applyBorder="1" applyAlignment="1">
      <alignment horizontal="right" vertical="center" wrapText="1"/>
    </xf>
    <xf numFmtId="0" fontId="10" fillId="0" borderId="195" xfId="9" applyFont="1" applyBorder="1" applyAlignment="1">
      <alignment horizontal="right" vertical="center" wrapText="1"/>
    </xf>
    <xf numFmtId="0" fontId="10" fillId="0" borderId="196" xfId="9" applyFont="1" applyBorder="1" applyAlignment="1">
      <alignment horizontal="right" vertical="center" wrapText="1"/>
    </xf>
    <xf numFmtId="0" fontId="10" fillId="0" borderId="193" xfId="9" applyFont="1" applyBorder="1" applyAlignment="1">
      <alignment horizontal="right" vertical="center" wrapText="1"/>
    </xf>
    <xf numFmtId="0" fontId="10" fillId="0" borderId="72" xfId="9" applyFont="1" applyBorder="1" applyAlignment="1">
      <alignment horizontal="right" vertical="center" wrapText="1"/>
    </xf>
    <xf numFmtId="0" fontId="7" fillId="0" borderId="3" xfId="0" applyFont="1" applyBorder="1" applyAlignment="1">
      <alignment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10" fillId="6" borderId="7" xfId="0" applyFont="1" applyFill="1" applyBorder="1" applyAlignment="1">
      <alignment vertical="center" wrapText="1"/>
    </xf>
    <xf numFmtId="0" fontId="10" fillId="6" borderId="46" xfId="0" applyFont="1" applyFill="1" applyBorder="1" applyAlignment="1">
      <alignment vertical="center" wrapText="1"/>
    </xf>
    <xf numFmtId="0" fontId="10" fillId="6" borderId="59" xfId="0" applyFont="1" applyFill="1" applyBorder="1" applyAlignment="1">
      <alignment vertical="center" wrapText="1"/>
    </xf>
    <xf numFmtId="0" fontId="7" fillId="0" borderId="0" xfId="0" applyFont="1" applyAlignment="1">
      <alignment horizontal="left" vertical="center" wrapText="1" indent="1"/>
    </xf>
    <xf numFmtId="0" fontId="21" fillId="0" borderId="6" xfId="0" applyFont="1" applyBorder="1" applyAlignment="1">
      <alignment vertical="center" wrapText="1"/>
    </xf>
    <xf numFmtId="0" fontId="0" fillId="0" borderId="4" xfId="0" applyBorder="1" applyAlignment="1"/>
    <xf numFmtId="0" fontId="0" fillId="0" borderId="5" xfId="0" applyBorder="1" applyAlignment="1"/>
    <xf numFmtId="0" fontId="0" fillId="0" borderId="3" xfId="0" applyBorder="1" applyAlignment="1"/>
    <xf numFmtId="0" fontId="0" fillId="0" borderId="0" xfId="0" applyAlignment="1"/>
    <xf numFmtId="0" fontId="0" fillId="0" borderId="20" xfId="0" applyBorder="1" applyAlignment="1"/>
    <xf numFmtId="0" fontId="0" fillId="0" borderId="0" xfId="0" applyBorder="1" applyAlignment="1"/>
    <xf numFmtId="0" fontId="10" fillId="0" borderId="6" xfId="0" applyFont="1" applyBorder="1" applyAlignment="1">
      <alignment horizontal="right" vertical="center"/>
    </xf>
    <xf numFmtId="0" fontId="10" fillId="0" borderId="18" xfId="0" applyFont="1" applyBorder="1" applyAlignment="1">
      <alignment horizontal="right" vertical="center"/>
    </xf>
    <xf numFmtId="0" fontId="10" fillId="0" borderId="4" xfId="0" applyFont="1" applyBorder="1" applyAlignment="1">
      <alignment horizontal="right" vertical="center"/>
    </xf>
    <xf numFmtId="0" fontId="0" fillId="0" borderId="17" xfId="0" applyBorder="1" applyAlignment="1">
      <alignment vertical="center"/>
    </xf>
    <xf numFmtId="0" fontId="10" fillId="2" borderId="6" xfId="0" applyFont="1" applyFill="1" applyBorder="1" applyAlignment="1" applyProtection="1">
      <alignment vertical="center" wrapText="1"/>
      <protection locked="0"/>
    </xf>
    <xf numFmtId="0" fontId="0" fillId="0" borderId="4" xfId="0" applyBorder="1" applyAlignment="1">
      <alignment vertical="center" wrapText="1"/>
    </xf>
    <xf numFmtId="0" fontId="0" fillId="0" borderId="5" xfId="0" applyBorder="1" applyAlignment="1">
      <alignment vertical="center" wrapText="1"/>
    </xf>
    <xf numFmtId="0" fontId="10" fillId="0" borderId="8" xfId="0" applyFont="1" applyBorder="1" applyAlignment="1">
      <alignment vertical="center"/>
    </xf>
    <xf numFmtId="0" fontId="10" fillId="6" borderId="46"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53" fillId="0" borderId="128" xfId="16" applyBorder="1" applyAlignment="1">
      <alignment vertical="center" wrapText="1"/>
    </xf>
    <xf numFmtId="0" fontId="0" fillId="0" borderId="129" xfId="0" applyBorder="1" applyAlignment="1">
      <alignment vertical="center" wrapText="1"/>
    </xf>
    <xf numFmtId="0" fontId="0" fillId="0" borderId="130" xfId="0" applyBorder="1" applyAlignment="1">
      <alignment vertical="center" wrapText="1"/>
    </xf>
    <xf numFmtId="0" fontId="53" fillId="2" borderId="7" xfId="16" applyFont="1" applyFill="1" applyBorder="1" applyAlignment="1" applyProtection="1">
      <alignment horizontal="left" vertical="top" wrapText="1"/>
      <protection locked="0"/>
    </xf>
    <xf numFmtId="0" fontId="53" fillId="2" borderId="7" xfId="16" applyFill="1" applyBorder="1" applyAlignment="1" applyProtection="1">
      <alignment horizontal="left" vertical="top" wrapText="1"/>
      <protection locked="0"/>
    </xf>
    <xf numFmtId="0" fontId="8" fillId="0" borderId="6" xfId="18" applyFont="1" applyBorder="1" applyAlignment="1" applyProtection="1">
      <alignment horizontal="left" vertical="center" wrapText="1"/>
    </xf>
    <xf numFmtId="0" fontId="8" fillId="0" borderId="4" xfId="18" applyFont="1" applyBorder="1" applyAlignment="1" applyProtection="1">
      <alignment horizontal="left" vertical="center"/>
    </xf>
    <xf numFmtId="0" fontId="8" fillId="0" borderId="5" xfId="18" applyFont="1" applyBorder="1" applyAlignment="1" applyProtection="1">
      <alignment horizontal="left" vertical="center"/>
    </xf>
    <xf numFmtId="0" fontId="8" fillId="0" borderId="3" xfId="18" applyFont="1" applyBorder="1" applyAlignment="1" applyProtection="1">
      <alignment horizontal="left" vertical="center"/>
    </xf>
    <xf numFmtId="0" fontId="8" fillId="0" borderId="0" xfId="18" applyFont="1" applyBorder="1" applyAlignment="1" applyProtection="1">
      <alignment horizontal="left" vertical="center"/>
    </xf>
    <xf numFmtId="0" fontId="8" fillId="0" borderId="20" xfId="18" applyFont="1" applyBorder="1" applyAlignment="1" applyProtection="1">
      <alignment horizontal="left" vertical="center"/>
    </xf>
    <xf numFmtId="0" fontId="8" fillId="0" borderId="18" xfId="18" applyFont="1" applyBorder="1" applyAlignment="1" applyProtection="1">
      <alignment horizontal="left" vertical="center"/>
    </xf>
    <xf numFmtId="0" fontId="8" fillId="0" borderId="17" xfId="18" applyFont="1" applyBorder="1" applyAlignment="1" applyProtection="1">
      <alignment horizontal="left" vertical="center"/>
    </xf>
    <xf numFmtId="0" fontId="8" fillId="0" borderId="24" xfId="18" applyFont="1" applyBorder="1" applyAlignment="1" applyProtection="1">
      <alignment horizontal="left" vertical="center"/>
    </xf>
    <xf numFmtId="0" fontId="12" fillId="0" borderId="0" xfId="18" applyFont="1" applyAlignment="1" applyProtection="1">
      <alignment horizontal="left" vertical="center" wrapText="1" indent="1"/>
    </xf>
    <xf numFmtId="0" fontId="15" fillId="0" borderId="0" xfId="18" applyFont="1" applyFill="1" applyAlignment="1" applyProtection="1">
      <alignment horizontal="left" vertical="top" wrapText="1"/>
    </xf>
    <xf numFmtId="0" fontId="53" fillId="2" borderId="29" xfId="16" applyFill="1" applyBorder="1" applyAlignment="1" applyProtection="1">
      <alignment horizontal="center" vertical="center"/>
      <protection locked="0"/>
    </xf>
    <xf numFmtId="0" fontId="53" fillId="2" borderId="15" xfId="16" applyFill="1" applyBorder="1" applyAlignment="1" applyProtection="1">
      <alignment horizontal="center" vertical="center"/>
      <protection locked="0"/>
    </xf>
    <xf numFmtId="0" fontId="53" fillId="2" borderId="31" xfId="16" applyFill="1" applyBorder="1" applyAlignment="1" applyProtection="1">
      <alignment horizontal="center" vertical="center"/>
      <protection locked="0"/>
    </xf>
    <xf numFmtId="178" fontId="53" fillId="2" borderId="30" xfId="16" applyNumberFormat="1" applyFill="1" applyBorder="1" applyAlignment="1" applyProtection="1">
      <alignment horizontal="right" vertical="center"/>
      <protection locked="0"/>
    </xf>
    <xf numFmtId="178" fontId="53" fillId="2" borderId="11" xfId="16" applyNumberFormat="1" applyFill="1" applyBorder="1" applyAlignment="1" applyProtection="1">
      <alignment horizontal="right" vertical="center"/>
      <protection locked="0"/>
    </xf>
    <xf numFmtId="178" fontId="53" fillId="2" borderId="21" xfId="16" applyNumberFormat="1" applyFill="1" applyBorder="1" applyAlignment="1" applyProtection="1">
      <alignment horizontal="right" vertical="center"/>
      <protection locked="0"/>
    </xf>
    <xf numFmtId="0" fontId="7" fillId="2" borderId="8" xfId="10" applyFont="1" applyFill="1" applyBorder="1" applyAlignment="1" applyProtection="1">
      <alignment vertical="center" wrapText="1"/>
      <protection locked="0"/>
    </xf>
    <xf numFmtId="0" fontId="7" fillId="2" borderId="2" xfId="10" applyFont="1" applyFill="1" applyBorder="1" applyAlignment="1" applyProtection="1">
      <alignment vertical="center" wrapText="1"/>
      <protection locked="0"/>
    </xf>
    <xf numFmtId="0" fontId="7" fillId="2" borderId="1" xfId="10" applyFont="1" applyFill="1" applyBorder="1" applyAlignment="1" applyProtection="1">
      <alignment vertical="center" wrapText="1"/>
      <protection locked="0"/>
    </xf>
    <xf numFmtId="0" fontId="7" fillId="0" borderId="18" xfId="0" applyFont="1" applyBorder="1" applyAlignment="1">
      <alignment vertical="center" wrapText="1"/>
    </xf>
    <xf numFmtId="0" fontId="7" fillId="0" borderId="0" xfId="10" applyFont="1" applyAlignment="1">
      <alignment vertical="center" wrapText="1"/>
    </xf>
    <xf numFmtId="0" fontId="0" fillId="0" borderId="20" xfId="0" applyBorder="1" applyAlignment="1">
      <alignment vertical="center" wrapText="1"/>
    </xf>
    <xf numFmtId="0" fontId="23" fillId="2" borderId="77" xfId="1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10" fillId="2" borderId="12" xfId="0" applyFont="1" applyFill="1"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10" fillId="2" borderId="22" xfId="0" applyFont="1" applyFill="1" applyBorder="1" applyAlignment="1" applyProtection="1">
      <alignment vertical="center" wrapText="1"/>
      <protection locked="0"/>
    </xf>
    <xf numFmtId="0" fontId="10" fillId="2" borderId="64"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10" fillId="2" borderId="31" xfId="0" applyFont="1" applyFill="1" applyBorder="1" applyAlignment="1" applyProtection="1">
      <alignment vertical="center" wrapText="1"/>
      <protection locked="0"/>
    </xf>
    <xf numFmtId="0" fontId="10" fillId="0" borderId="2" xfId="0" applyFont="1" applyBorder="1" applyAlignment="1" applyProtection="1">
      <alignment horizontal="center" vertical="center"/>
      <protection hidden="1"/>
    </xf>
    <xf numFmtId="0" fontId="10" fillId="2" borderId="19" xfId="0" applyFont="1" applyFill="1" applyBorder="1" applyAlignment="1" applyProtection="1">
      <alignment vertical="center" wrapText="1"/>
      <protection locked="0"/>
    </xf>
    <xf numFmtId="0" fontId="10" fillId="2" borderId="11" xfId="0" applyFont="1" applyFill="1" applyBorder="1" applyAlignment="1" applyProtection="1">
      <alignment vertical="center" wrapText="1"/>
      <protection locked="0"/>
    </xf>
    <xf numFmtId="0" fontId="10" fillId="2" borderId="21" xfId="0" applyFont="1" applyFill="1" applyBorder="1" applyAlignment="1" applyProtection="1">
      <alignment vertical="center" wrapText="1"/>
      <protection locked="0"/>
    </xf>
    <xf numFmtId="0" fontId="22" fillId="0" borderId="2" xfId="0" applyFont="1" applyFill="1" applyBorder="1" applyAlignment="1">
      <alignment horizontal="center" vertical="center"/>
    </xf>
    <xf numFmtId="0" fontId="0" fillId="0" borderId="8"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10" fillId="17" borderId="108" xfId="6" applyFont="1" applyFill="1" applyBorder="1" applyAlignment="1" applyProtection="1">
      <alignment vertical="center"/>
      <protection hidden="1"/>
    </xf>
    <xf numFmtId="0" fontId="7" fillId="17" borderId="108" xfId="6" applyFill="1" applyBorder="1" applyAlignment="1" applyProtection="1">
      <alignment vertical="center"/>
    </xf>
    <xf numFmtId="0" fontId="10" fillId="17" borderId="109" xfId="6" applyFont="1" applyFill="1" applyBorder="1" applyAlignment="1" applyProtection="1">
      <alignment vertical="center" wrapText="1"/>
    </xf>
    <xf numFmtId="0" fontId="10" fillId="17" borderId="109" xfId="6" applyFont="1" applyFill="1" applyBorder="1" applyAlignment="1" applyProtection="1">
      <alignment horizontal="left" vertical="center" wrapText="1"/>
    </xf>
    <xf numFmtId="0" fontId="55" fillId="17" borderId="135" xfId="6" applyFont="1" applyFill="1" applyBorder="1" applyAlignment="1" applyProtection="1">
      <alignment horizontal="center" vertical="center" wrapText="1"/>
    </xf>
    <xf numFmtId="0" fontId="55" fillId="17" borderId="58" xfId="6" applyFont="1" applyFill="1" applyBorder="1" applyAlignment="1" applyProtection="1">
      <alignment horizontal="center" vertical="center" wrapText="1"/>
    </xf>
    <xf numFmtId="0" fontId="55" fillId="17" borderId="68" xfId="6" applyFont="1" applyFill="1" applyBorder="1" applyAlignment="1" applyProtection="1">
      <alignment horizontal="center" vertical="center" wrapText="1"/>
    </xf>
    <xf numFmtId="0" fontId="10" fillId="17" borderId="128" xfId="6" applyFont="1" applyFill="1" applyBorder="1" applyAlignment="1" applyProtection="1">
      <alignment horizontal="center" vertical="center"/>
    </xf>
    <xf numFmtId="0" fontId="10" fillId="17" borderId="130" xfId="6" applyFont="1" applyFill="1" applyBorder="1" applyAlignment="1" applyProtection="1">
      <alignment horizontal="center" vertical="center"/>
    </xf>
    <xf numFmtId="0" fontId="28" fillId="0" borderId="8" xfId="0"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0" fontId="28" fillId="0" borderId="1" xfId="0" applyFont="1" applyBorder="1" applyAlignment="1" applyProtection="1">
      <alignment horizontal="left" vertical="center"/>
      <protection hidden="1"/>
    </xf>
    <xf numFmtId="0" fontId="23" fillId="0" borderId="8" xfId="0" applyFont="1" applyFill="1" applyBorder="1" applyAlignment="1" applyProtection="1">
      <alignment horizontal="center" vertical="center"/>
      <protection hidden="1"/>
    </xf>
    <xf numFmtId="0" fontId="23" fillId="0" borderId="1" xfId="0" applyFont="1" applyFill="1" applyBorder="1" applyAlignment="1" applyProtection="1">
      <alignment horizontal="center" vertical="center"/>
      <protection hidden="1"/>
    </xf>
    <xf numFmtId="0" fontId="23" fillId="0" borderId="8" xfId="0" applyFont="1" applyBorder="1" applyAlignment="1" applyProtection="1">
      <alignment horizontal="center" vertical="center"/>
      <protection hidden="1"/>
    </xf>
    <xf numFmtId="0" fontId="23" fillId="0" borderId="1" xfId="0" applyFont="1" applyBorder="1" applyAlignment="1" applyProtection="1">
      <alignment horizontal="center" vertical="center"/>
      <protection hidden="1"/>
    </xf>
    <xf numFmtId="0" fontId="23" fillId="0" borderId="109" xfId="0" applyFont="1" applyBorder="1" applyAlignment="1" applyProtection="1">
      <alignment horizontal="center" vertical="center"/>
      <protection hidden="1"/>
    </xf>
    <xf numFmtId="0" fontId="10" fillId="0" borderId="8" xfId="11" applyFont="1" applyBorder="1" applyAlignment="1" applyProtection="1">
      <alignment horizontal="left" vertical="center"/>
    </xf>
    <xf numFmtId="0" fontId="10" fillId="0" borderId="2" xfId="11" applyFont="1" applyBorder="1" applyAlignment="1" applyProtection="1">
      <alignment horizontal="left" vertical="center"/>
    </xf>
    <xf numFmtId="0" fontId="10" fillId="0" borderId="1" xfId="11" applyFont="1" applyBorder="1" applyAlignment="1" applyProtection="1">
      <alignment horizontal="left" vertical="center"/>
    </xf>
    <xf numFmtId="38" fontId="10" fillId="0" borderId="8" xfId="0" applyNumberFormat="1" applyFont="1" applyBorder="1" applyAlignment="1" applyProtection="1">
      <alignment horizontal="right" vertical="center"/>
    </xf>
    <xf numFmtId="0" fontId="10" fillId="0" borderId="1" xfId="0" applyFont="1" applyBorder="1" applyAlignment="1" applyProtection="1">
      <alignment horizontal="right" vertical="center"/>
    </xf>
    <xf numFmtId="38" fontId="10" fillId="0" borderId="8" xfId="2" applyFont="1" applyBorder="1" applyAlignment="1" applyProtection="1">
      <alignment horizontal="right" vertical="center"/>
    </xf>
    <xf numFmtId="38" fontId="10" fillId="0" borderId="1" xfId="2" applyFont="1" applyBorder="1" applyAlignment="1" applyProtection="1">
      <alignment horizontal="right" vertical="center"/>
    </xf>
    <xf numFmtId="0" fontId="10" fillId="0" borderId="0" xfId="0" applyFont="1" applyFill="1" applyAlignment="1" applyProtection="1">
      <alignment vertical="center" wrapText="1"/>
      <protection hidden="1"/>
    </xf>
    <xf numFmtId="0" fontId="0" fillId="3" borderId="6" xfId="0" applyFill="1" applyBorder="1" applyAlignment="1" applyProtection="1">
      <alignment horizontal="left" vertical="center" wrapText="1"/>
      <protection hidden="1"/>
    </xf>
    <xf numFmtId="0" fontId="0" fillId="3" borderId="5" xfId="0" applyFill="1" applyBorder="1" applyAlignment="1" applyProtection="1">
      <alignment horizontal="left" vertical="center" wrapText="1"/>
      <protection hidden="1"/>
    </xf>
    <xf numFmtId="0" fontId="0" fillId="3" borderId="18" xfId="0" applyFill="1" applyBorder="1" applyAlignment="1" applyProtection="1">
      <alignment horizontal="left" vertical="center" wrapText="1"/>
      <protection hidden="1"/>
    </xf>
    <xf numFmtId="0" fontId="0" fillId="3" borderId="24" xfId="0" applyFill="1" applyBorder="1" applyAlignment="1" applyProtection="1">
      <alignment horizontal="left" vertical="center" wrapText="1"/>
      <protection hidden="1"/>
    </xf>
    <xf numFmtId="0" fontId="10" fillId="0" borderId="7" xfId="0" applyFont="1" applyBorder="1" applyAlignment="1" applyProtection="1">
      <alignment horizontal="center" vertical="center" wrapText="1"/>
      <protection hidden="1"/>
    </xf>
    <xf numFmtId="0" fontId="10" fillId="0" borderId="8" xfId="11" applyFont="1" applyFill="1" applyBorder="1" applyAlignment="1" applyProtection="1">
      <alignment horizontal="left" vertical="center"/>
    </xf>
    <xf numFmtId="0" fontId="10" fillId="0" borderId="2" xfId="11" applyFont="1" applyFill="1" applyBorder="1" applyAlignment="1" applyProtection="1">
      <alignment horizontal="left" vertical="center"/>
    </xf>
    <xf numFmtId="0" fontId="10" fillId="0" borderId="1" xfId="11" applyFont="1" applyFill="1" applyBorder="1" applyAlignment="1" applyProtection="1">
      <alignment horizontal="left" vertical="center"/>
    </xf>
    <xf numFmtId="38" fontId="10" fillId="0" borderId="8" xfId="11" applyNumberFormat="1" applyFont="1" applyBorder="1" applyAlignment="1" applyProtection="1">
      <alignment horizontal="right" vertical="center"/>
      <protection hidden="1"/>
    </xf>
    <xf numFmtId="0" fontId="10" fillId="0" borderId="1" xfId="11" applyFont="1" applyBorder="1" applyAlignment="1" applyProtection="1">
      <alignment horizontal="right" vertical="center"/>
      <protection hidden="1"/>
    </xf>
    <xf numFmtId="38" fontId="10" fillId="0" borderId="8" xfId="2" applyFont="1" applyBorder="1" applyAlignment="1" applyProtection="1">
      <alignment horizontal="right" vertical="center" wrapText="1"/>
      <protection hidden="1"/>
    </xf>
    <xf numFmtId="38" fontId="10" fillId="0" borderId="1" xfId="2" applyFont="1" applyBorder="1" applyAlignment="1" applyProtection="1">
      <alignment horizontal="right" vertical="center" wrapText="1"/>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10" fillId="0" borderId="8"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2" xfId="0" applyFont="1" applyFill="1" applyBorder="1" applyAlignment="1" applyProtection="1">
      <alignment horizontal="left" vertical="center"/>
      <protection hidden="1"/>
    </xf>
    <xf numFmtId="0" fontId="10" fillId="0" borderId="1" xfId="0" applyFont="1" applyFill="1" applyBorder="1" applyAlignment="1" applyProtection="1">
      <alignment horizontal="left" vertical="center"/>
      <protection hidden="1"/>
    </xf>
    <xf numFmtId="0" fontId="10" fillId="0" borderId="7" xfId="0" applyFont="1" applyFill="1" applyBorder="1" applyAlignment="1" applyProtection="1">
      <alignment horizontal="center" vertical="center"/>
      <protection hidden="1"/>
    </xf>
    <xf numFmtId="0" fontId="10" fillId="0" borderId="8" xfId="0"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0" fontId="10" fillId="13" borderId="8" xfId="0" applyFont="1" applyFill="1" applyBorder="1" applyAlignment="1" applyProtection="1">
      <alignment horizontal="left" vertical="center"/>
      <protection hidden="1"/>
    </xf>
    <xf numFmtId="0" fontId="10" fillId="13" borderId="2" xfId="0" applyFont="1" applyFill="1" applyBorder="1" applyAlignment="1" applyProtection="1">
      <alignment horizontal="left" vertical="center"/>
      <protection hidden="1"/>
    </xf>
    <xf numFmtId="0" fontId="10" fillId="13" borderId="1" xfId="0" applyFont="1" applyFill="1" applyBorder="1" applyAlignment="1" applyProtection="1">
      <alignment horizontal="left" vertical="center"/>
      <protection hidden="1"/>
    </xf>
    <xf numFmtId="0" fontId="10" fillId="13" borderId="7" xfId="0" applyFont="1" applyFill="1" applyBorder="1" applyAlignment="1" applyProtection="1">
      <alignment horizontal="center" vertical="center"/>
      <protection hidden="1"/>
    </xf>
    <xf numFmtId="0" fontId="10" fillId="13" borderId="8" xfId="0" applyFont="1" applyFill="1" applyBorder="1" applyAlignment="1" applyProtection="1">
      <alignment horizontal="left" vertical="center" wrapText="1"/>
      <protection hidden="1"/>
    </xf>
    <xf numFmtId="0" fontId="10" fillId="13" borderId="8" xfId="0" applyFont="1" applyFill="1" applyBorder="1" applyAlignment="1" applyProtection="1">
      <alignment horizontal="center" vertical="center" wrapText="1"/>
      <protection hidden="1"/>
    </xf>
    <xf numFmtId="0" fontId="10" fillId="13" borderId="2" xfId="0" applyFont="1" applyFill="1" applyBorder="1" applyAlignment="1" applyProtection="1">
      <alignment horizontal="center" vertical="center" wrapText="1"/>
      <protection hidden="1"/>
    </xf>
    <xf numFmtId="0" fontId="10" fillId="13" borderId="1" xfId="0" applyFont="1" applyFill="1" applyBorder="1" applyAlignment="1" applyProtection="1">
      <alignment horizontal="center" vertical="center" wrapText="1"/>
      <protection hidden="1"/>
    </xf>
    <xf numFmtId="0" fontId="0" fillId="0" borderId="0" xfId="0" applyFont="1" applyAlignment="1" applyProtection="1">
      <alignment horizontal="left" vertical="top" wrapText="1"/>
      <protection hidden="1"/>
    </xf>
    <xf numFmtId="0" fontId="3" fillId="0" borderId="0" xfId="0" applyFont="1" applyAlignment="1" applyProtection="1">
      <alignment horizontal="left" vertical="top"/>
      <protection hidden="1"/>
    </xf>
    <xf numFmtId="0" fontId="0" fillId="3" borderId="8"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left" vertical="center" wrapText="1"/>
      <protection hidden="1"/>
    </xf>
    <xf numFmtId="0" fontId="23" fillId="0" borderId="8" xfId="0" applyFont="1" applyFill="1" applyBorder="1" applyAlignment="1" applyProtection="1">
      <alignment horizontal="center" vertical="center" shrinkToFit="1"/>
      <protection hidden="1"/>
    </xf>
    <xf numFmtId="0" fontId="23" fillId="0" borderId="1" xfId="0" applyFont="1" applyFill="1" applyBorder="1" applyAlignment="1" applyProtection="1">
      <alignment horizontal="center" vertical="center" shrinkToFit="1"/>
      <protection hidden="1"/>
    </xf>
    <xf numFmtId="38" fontId="10" fillId="0" borderId="7" xfId="0" applyNumberFormat="1" applyFont="1" applyBorder="1" applyAlignment="1" applyProtection="1">
      <alignment horizontal="center" vertical="center"/>
      <protection hidden="1"/>
    </xf>
    <xf numFmtId="0" fontId="70" fillId="0" borderId="0" xfId="0" applyFont="1" applyAlignment="1">
      <alignment vertical="top" wrapText="1"/>
    </xf>
    <xf numFmtId="0" fontId="70" fillId="0" borderId="0" xfId="0" applyFont="1" applyAlignment="1">
      <alignment vertical="top"/>
    </xf>
    <xf numFmtId="0" fontId="70" fillId="0" borderId="168" xfId="0" applyFont="1" applyBorder="1" applyAlignment="1">
      <alignment vertical="top"/>
    </xf>
    <xf numFmtId="49" fontId="10" fillId="0" borderId="0" xfId="14" applyNumberFormat="1"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14" applyFill="1" applyBorder="1" applyAlignment="1">
      <alignment horizontal="center" vertical="center"/>
    </xf>
    <xf numFmtId="0" fontId="3" fillId="0" borderId="0" xfId="14" applyFill="1" applyBorder="1" applyAlignment="1">
      <alignment horizontal="center" vertical="center" wrapText="1"/>
    </xf>
    <xf numFmtId="49" fontId="10" fillId="0" borderId="0" xfId="14" applyNumberFormat="1" applyFont="1" applyFill="1" applyBorder="1" applyAlignment="1">
      <alignment vertical="center" wrapText="1"/>
    </xf>
    <xf numFmtId="0" fontId="10" fillId="0" borderId="0" xfId="12" applyFont="1" applyFill="1" applyBorder="1" applyAlignment="1" applyProtection="1">
      <alignment horizontal="left" vertical="center"/>
    </xf>
    <xf numFmtId="184" fontId="7" fillId="0" borderId="0" xfId="1" applyNumberFormat="1" applyFont="1" applyFill="1" applyBorder="1" applyAlignment="1" applyProtection="1">
      <alignment horizontal="center" vertical="center"/>
      <protection hidden="1"/>
    </xf>
    <xf numFmtId="0" fontId="10" fillId="0" borderId="7" xfId="12" applyFont="1" applyBorder="1" applyAlignment="1" applyProtection="1">
      <alignment horizontal="left" vertical="center"/>
    </xf>
    <xf numFmtId="184" fontId="7" fillId="0" borderId="8" xfId="1" applyNumberFormat="1" applyFont="1" applyBorder="1" applyAlignment="1" applyProtection="1">
      <alignment horizontal="center" vertical="center"/>
      <protection hidden="1"/>
    </xf>
    <xf numFmtId="184" fontId="7" fillId="0" borderId="1" xfId="1" applyNumberFormat="1" applyFont="1" applyBorder="1" applyAlignment="1" applyProtection="1">
      <alignment horizontal="center" vertical="center"/>
      <protection hidden="1"/>
    </xf>
    <xf numFmtId="0" fontId="10" fillId="0" borderId="4" xfId="12" applyFont="1" applyFill="1" applyBorder="1" applyAlignment="1" applyProtection="1">
      <alignment horizontal="left" vertical="center"/>
    </xf>
    <xf numFmtId="184" fontId="7" fillId="0" borderId="4" xfId="1" applyNumberFormat="1" applyFont="1" applyFill="1" applyBorder="1" applyAlignment="1" applyProtection="1">
      <alignment horizontal="center" vertical="center"/>
      <protection hidden="1"/>
    </xf>
    <xf numFmtId="49" fontId="10" fillId="0" borderId="8" xfId="11" applyNumberFormat="1" applyFont="1" applyFill="1" applyBorder="1" applyAlignment="1" applyProtection="1">
      <alignment horizontal="left" vertical="center" wrapText="1"/>
    </xf>
    <xf numFmtId="0" fontId="28" fillId="0" borderId="1" xfId="0" applyFont="1" applyBorder="1" applyAlignment="1">
      <alignment vertical="center" wrapText="1"/>
    </xf>
    <xf numFmtId="0" fontId="27" fillId="0" borderId="0" xfId="0" applyFont="1" applyBorder="1" applyAlignment="1" applyProtection="1">
      <alignment horizontal="left" vertical="center" wrapText="1"/>
      <protection hidden="1"/>
    </xf>
    <xf numFmtId="0" fontId="23" fillId="0" borderId="0"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49" fontId="10" fillId="0" borderId="8" xfId="11" applyNumberFormat="1" applyFont="1" applyBorder="1" applyAlignment="1" applyProtection="1">
      <alignment vertical="center" wrapText="1"/>
    </xf>
    <xf numFmtId="0" fontId="3" fillId="0" borderId="1" xfId="0" applyFont="1" applyBorder="1" applyAlignment="1">
      <alignment vertical="center" wrapText="1"/>
    </xf>
    <xf numFmtId="0" fontId="7" fillId="0" borderId="6" xfId="11" applyFont="1" applyBorder="1" applyAlignment="1" applyProtection="1">
      <alignment horizontal="center" vertical="center"/>
    </xf>
    <xf numFmtId="0" fontId="7" fillId="0" borderId="5" xfId="11" applyFont="1" applyBorder="1" applyAlignment="1" applyProtection="1">
      <alignment horizontal="center" vertical="center"/>
    </xf>
    <xf numFmtId="0" fontId="7" fillId="0" borderId="3" xfId="11" applyFont="1" applyBorder="1" applyAlignment="1" applyProtection="1">
      <alignment horizontal="center" vertical="center"/>
    </xf>
    <xf numFmtId="0" fontId="7" fillId="0" borderId="20" xfId="11" applyFont="1" applyBorder="1" applyAlignment="1" applyProtection="1">
      <alignment horizontal="center" vertical="center"/>
    </xf>
    <xf numFmtId="0" fontId="7" fillId="0" borderId="18" xfId="11" applyFont="1" applyBorder="1" applyAlignment="1" applyProtection="1">
      <alignment horizontal="center" vertical="center"/>
    </xf>
    <xf numFmtId="0" fontId="7" fillId="0" borderId="24" xfId="11" applyFont="1" applyBorder="1" applyAlignment="1" applyProtection="1">
      <alignment horizontal="center" vertical="center"/>
    </xf>
    <xf numFmtId="0" fontId="7" fillId="0" borderId="6" xfId="11" applyFont="1" applyBorder="1" applyAlignment="1" applyProtection="1">
      <alignment horizontal="center" vertical="center" wrapText="1"/>
    </xf>
    <xf numFmtId="0" fontId="7" fillId="0" borderId="5" xfId="11" applyFont="1" applyBorder="1" applyAlignment="1" applyProtection="1">
      <alignment horizontal="center" vertical="center" wrapText="1"/>
    </xf>
    <xf numFmtId="0" fontId="7" fillId="0" borderId="41" xfId="11" applyFont="1" applyBorder="1" applyAlignment="1" applyProtection="1">
      <alignment horizontal="center" vertical="center" wrapText="1"/>
    </xf>
    <xf numFmtId="0" fontId="7" fillId="0" borderId="23" xfId="11" applyFont="1" applyBorder="1" applyAlignment="1" applyProtection="1">
      <alignment horizontal="center" vertical="center" wrapText="1"/>
    </xf>
    <xf numFmtId="49" fontId="10" fillId="0" borderId="1" xfId="11" applyNumberFormat="1" applyFont="1" applyFill="1" applyBorder="1" applyAlignment="1" applyProtection="1">
      <alignment horizontal="left" vertical="center" wrapText="1"/>
    </xf>
    <xf numFmtId="0" fontId="7" fillId="0" borderId="4" xfId="11" applyFont="1" applyBorder="1" applyAlignment="1" applyProtection="1">
      <alignment horizontal="center" vertical="center"/>
    </xf>
    <xf numFmtId="0" fontId="12" fillId="0" borderId="46" xfId="11" applyFont="1" applyBorder="1" applyAlignment="1" applyProtection="1">
      <alignment horizontal="center" vertical="center" wrapText="1"/>
    </xf>
    <xf numFmtId="0" fontId="12" fillId="0" borderId="58" xfId="11" applyFont="1" applyBorder="1" applyAlignment="1" applyProtection="1">
      <alignment horizontal="center" vertical="center" wrapText="1"/>
    </xf>
    <xf numFmtId="0" fontId="12" fillId="0" borderId="59" xfId="11" applyFont="1" applyBorder="1" applyAlignment="1" applyProtection="1">
      <alignment horizontal="center" vertical="center" wrapText="1"/>
    </xf>
    <xf numFmtId="0" fontId="7" fillId="0" borderId="46" xfId="11" applyFont="1" applyBorder="1" applyAlignment="1" applyProtection="1">
      <alignment horizontal="center" vertical="center" wrapText="1"/>
    </xf>
    <xf numFmtId="0" fontId="7" fillId="0" borderId="58" xfId="11" applyFont="1" applyBorder="1" applyAlignment="1" applyProtection="1">
      <alignment horizontal="center" vertical="center"/>
    </xf>
    <xf numFmtId="0" fontId="7" fillId="0" borderId="59" xfId="11" applyFont="1" applyBorder="1" applyAlignment="1" applyProtection="1">
      <alignment horizontal="center" vertical="center"/>
    </xf>
    <xf numFmtId="49" fontId="10" fillId="0" borderId="8" xfId="11" applyNumberFormat="1" applyFont="1" applyBorder="1" applyAlignment="1" applyProtection="1">
      <alignment horizontal="left" vertical="center" wrapText="1"/>
    </xf>
    <xf numFmtId="49" fontId="10" fillId="0" borderId="1" xfId="11" applyNumberFormat="1" applyFont="1" applyBorder="1" applyAlignment="1" applyProtection="1">
      <alignment horizontal="left" vertical="center" wrapText="1"/>
    </xf>
    <xf numFmtId="0" fontId="7" fillId="0" borderId="7" xfId="0" applyFont="1" applyBorder="1" applyAlignment="1" applyProtection="1">
      <alignment horizontal="center" vertical="center"/>
      <protection hidden="1"/>
    </xf>
    <xf numFmtId="0" fontId="3" fillId="4" borderId="107" xfId="31" applyFont="1" applyFill="1" applyBorder="1" applyAlignment="1" applyProtection="1">
      <alignment horizontal="center" vertical="center"/>
      <protection hidden="1"/>
    </xf>
    <xf numFmtId="0" fontId="3" fillId="4" borderId="131" xfId="31" applyFont="1" applyFill="1" applyBorder="1" applyAlignment="1" applyProtection="1">
      <alignment horizontal="center" vertical="center"/>
      <protection hidden="1"/>
    </xf>
    <xf numFmtId="0" fontId="3" fillId="4" borderId="109" xfId="31" applyFont="1" applyFill="1" applyBorder="1" applyAlignment="1" applyProtection="1">
      <alignment horizontal="center" vertical="center"/>
      <protection hidden="1"/>
    </xf>
    <xf numFmtId="0" fontId="3" fillId="4" borderId="112" xfId="31" applyFont="1" applyFill="1" applyBorder="1" applyAlignment="1" applyProtection="1">
      <alignment horizontal="center" vertical="center"/>
      <protection hidden="1"/>
    </xf>
    <xf numFmtId="0" fontId="3" fillId="4" borderId="129" xfId="31" applyFont="1" applyFill="1" applyBorder="1" applyAlignment="1" applyProtection="1">
      <alignment horizontal="center" vertical="center"/>
      <protection hidden="1"/>
    </xf>
    <xf numFmtId="0" fontId="3" fillId="4" borderId="130" xfId="31" applyFont="1" applyFill="1" applyBorder="1" applyAlignment="1" applyProtection="1">
      <alignment horizontal="center" vertical="center"/>
      <protection hidden="1"/>
    </xf>
    <xf numFmtId="0" fontId="7" fillId="0" borderId="7" xfId="0" applyFont="1" applyBorder="1" applyAlignment="1" applyProtection="1">
      <alignment horizontal="center" vertical="center" wrapText="1"/>
      <protection hidden="1"/>
    </xf>
    <xf numFmtId="0" fontId="0" fillId="3" borderId="7" xfId="11" applyFont="1" applyFill="1" applyBorder="1" applyAlignment="1" applyProtection="1">
      <alignment horizontal="left" vertical="center" wrapText="1"/>
    </xf>
    <xf numFmtId="0" fontId="10" fillId="0" borderId="46" xfId="12" applyFont="1" applyBorder="1" applyAlignment="1" applyProtection="1">
      <alignment horizontal="left" vertical="center" wrapText="1"/>
    </xf>
    <xf numFmtId="0" fontId="10" fillId="0" borderId="58" xfId="12" applyFont="1" applyBorder="1" applyAlignment="1" applyProtection="1">
      <alignment horizontal="left" vertical="center" wrapText="1"/>
    </xf>
    <xf numFmtId="0" fontId="10" fillId="0" borderId="59" xfId="12" applyFont="1" applyBorder="1" applyAlignment="1" applyProtection="1">
      <alignment horizontal="left" vertical="center" wrapText="1"/>
    </xf>
    <xf numFmtId="0" fontId="7" fillId="0" borderId="7"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10" fillId="0" borderId="7" xfId="12" applyFont="1" applyBorder="1" applyAlignment="1" applyProtection="1">
      <alignment horizontal="left" vertical="center" wrapText="1"/>
    </xf>
    <xf numFmtId="0" fontId="10" fillId="0" borderId="8" xfId="12" applyFont="1" applyBorder="1" applyAlignment="1" applyProtection="1">
      <alignment horizontal="left" vertical="center" wrapText="1"/>
    </xf>
    <xf numFmtId="0" fontId="7" fillId="0" borderId="46"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10" fillId="0" borderId="46" xfId="5" applyFont="1" applyBorder="1" applyAlignment="1" applyProtection="1">
      <alignment horizontal="left" vertical="center" wrapText="1"/>
      <protection hidden="1"/>
    </xf>
    <xf numFmtId="0" fontId="10" fillId="0" borderId="59" xfId="5" applyFont="1" applyBorder="1" applyAlignment="1" applyProtection="1">
      <alignment horizontal="left" vertical="center" wrapText="1"/>
      <protection hidden="1"/>
    </xf>
    <xf numFmtId="0" fontId="10" fillId="0" borderId="6" xfId="5" applyFont="1" applyBorder="1" applyAlignment="1" applyProtection="1">
      <alignment horizontal="left" vertical="center" wrapText="1"/>
      <protection hidden="1"/>
    </xf>
    <xf numFmtId="0" fontId="10" fillId="0" borderId="4" xfId="5" applyFont="1" applyBorder="1" applyAlignment="1" applyProtection="1">
      <alignment horizontal="left" vertical="center" wrapText="1"/>
      <protection hidden="1"/>
    </xf>
    <xf numFmtId="0" fontId="10" fillId="0" borderId="5" xfId="5" applyFont="1" applyBorder="1" applyAlignment="1" applyProtection="1">
      <alignment horizontal="left" vertical="center" wrapText="1"/>
      <protection hidden="1"/>
    </xf>
    <xf numFmtId="0" fontId="10" fillId="0" borderId="18" xfId="5" applyFont="1" applyBorder="1" applyAlignment="1" applyProtection="1">
      <alignment horizontal="left" vertical="center" wrapText="1"/>
      <protection hidden="1"/>
    </xf>
    <xf numFmtId="0" fontId="10" fillId="0" borderId="17" xfId="5" applyFont="1" applyBorder="1" applyAlignment="1" applyProtection="1">
      <alignment horizontal="left" vertical="center" wrapText="1"/>
      <protection hidden="1"/>
    </xf>
    <xf numFmtId="0" fontId="10" fillId="0" borderId="24" xfId="5"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7" fillId="0" borderId="58" xfId="0" applyFont="1" applyBorder="1" applyAlignment="1" applyProtection="1">
      <alignment horizontal="center" vertical="center"/>
      <protection hidden="1"/>
    </xf>
    <xf numFmtId="0" fontId="28" fillId="0" borderId="7" xfId="0" applyFont="1" applyBorder="1" applyAlignment="1" applyProtection="1">
      <alignment horizontal="left" vertical="center" wrapText="1"/>
      <protection hidden="1"/>
    </xf>
    <xf numFmtId="0" fontId="28" fillId="0" borderId="8" xfId="0" applyFont="1" applyBorder="1" applyAlignment="1" applyProtection="1">
      <alignment horizontal="left" vertical="center" wrapText="1"/>
      <protection hidden="1"/>
    </xf>
    <xf numFmtId="0" fontId="28" fillId="0" borderId="46" xfId="0" applyFont="1" applyBorder="1" applyAlignment="1" applyProtection="1">
      <alignment horizontal="center" vertical="center"/>
      <protection hidden="1"/>
    </xf>
    <xf numFmtId="0" fontId="28" fillId="0" borderId="59" xfId="0" applyFont="1" applyBorder="1" applyAlignment="1" applyProtection="1">
      <alignment horizontal="center" vertical="center"/>
      <protection hidden="1"/>
    </xf>
    <xf numFmtId="0" fontId="10" fillId="0" borderId="6" xfId="12" applyFont="1" applyBorder="1" applyAlignment="1" applyProtection="1">
      <alignment horizontal="left" vertical="center" wrapText="1"/>
    </xf>
    <xf numFmtId="0" fontId="10" fillId="0" borderId="4" xfId="12" applyFont="1" applyBorder="1" applyAlignment="1" applyProtection="1">
      <alignment horizontal="left" vertical="center" wrapText="1"/>
    </xf>
    <xf numFmtId="0" fontId="10" fillId="0" borderId="5" xfId="12" applyFont="1" applyBorder="1" applyAlignment="1" applyProtection="1">
      <alignment horizontal="left" vertical="center" wrapText="1"/>
    </xf>
    <xf numFmtId="0" fontId="10" fillId="0" borderId="18" xfId="12" applyFont="1" applyBorder="1" applyAlignment="1" applyProtection="1">
      <alignment horizontal="left" vertical="center" wrapText="1"/>
    </xf>
    <xf numFmtId="0" fontId="10" fillId="0" borderId="17" xfId="12" applyFont="1" applyBorder="1" applyAlignment="1" applyProtection="1">
      <alignment horizontal="left" vertical="center" wrapText="1"/>
    </xf>
    <xf numFmtId="0" fontId="10" fillId="0" borderId="24" xfId="12" applyFont="1" applyBorder="1" applyAlignment="1" applyProtection="1">
      <alignment horizontal="left" vertical="center" wrapText="1"/>
    </xf>
    <xf numFmtId="0" fontId="28" fillId="0" borderId="2" xfId="0" applyFont="1" applyBorder="1" applyAlignment="1" applyProtection="1">
      <alignment horizontal="left" vertical="center" wrapText="1"/>
      <protection hidden="1"/>
    </xf>
    <xf numFmtId="0" fontId="10" fillId="0" borderId="3" xfId="5" applyFont="1" applyBorder="1" applyAlignment="1" applyProtection="1">
      <alignment horizontal="left" vertical="center" wrapText="1"/>
      <protection hidden="1"/>
    </xf>
    <xf numFmtId="0" fontId="10" fillId="0" borderId="0" xfId="5" applyFont="1" applyBorder="1" applyAlignment="1" applyProtection="1">
      <alignment horizontal="left" vertical="center" wrapText="1"/>
      <protection hidden="1"/>
    </xf>
    <xf numFmtId="0" fontId="10" fillId="0" borderId="20" xfId="5" applyFont="1" applyBorder="1" applyAlignment="1" applyProtection="1">
      <alignment horizontal="left" vertical="center" wrapText="1"/>
      <protection hidden="1"/>
    </xf>
    <xf numFmtId="0" fontId="10" fillId="0" borderId="58" xfId="5"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7" fillId="0" borderId="20"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24" xfId="0" applyFont="1" applyBorder="1" applyAlignment="1" applyProtection="1">
      <alignment horizontal="left" vertical="center" wrapText="1"/>
      <protection hidden="1"/>
    </xf>
    <xf numFmtId="0" fontId="10" fillId="0" borderId="46" xfId="12" applyFont="1" applyBorder="1" applyAlignment="1" applyProtection="1">
      <alignment vertical="center" wrapText="1"/>
    </xf>
    <xf numFmtId="0" fontId="10" fillId="0" borderId="58" xfId="12" applyFont="1" applyBorder="1" applyAlignment="1" applyProtection="1">
      <alignment vertical="center" wrapText="1"/>
    </xf>
    <xf numFmtId="0" fontId="10" fillId="0" borderId="59" xfId="12" applyFont="1" applyBorder="1" applyAlignment="1" applyProtection="1">
      <alignment vertical="center" wrapText="1"/>
    </xf>
    <xf numFmtId="0" fontId="7" fillId="0" borderId="46" xfId="0" applyFont="1" applyBorder="1" applyAlignment="1" applyProtection="1">
      <alignment vertical="center" wrapText="1"/>
      <protection hidden="1"/>
    </xf>
    <xf numFmtId="0" fontId="7" fillId="0" borderId="58" xfId="0" applyFont="1" applyBorder="1" applyAlignment="1" applyProtection="1">
      <alignment vertical="center" wrapText="1"/>
      <protection hidden="1"/>
    </xf>
    <xf numFmtId="0" fontId="7" fillId="0" borderId="59" xfId="0" applyFont="1" applyBorder="1" applyAlignment="1" applyProtection="1">
      <alignment vertical="center" wrapText="1"/>
      <protection hidden="1"/>
    </xf>
    <xf numFmtId="0" fontId="10" fillId="0" borderId="7" xfId="5" applyFont="1" applyBorder="1" applyAlignment="1" applyProtection="1">
      <alignment horizontal="left" vertical="center" wrapText="1"/>
      <protection hidden="1"/>
    </xf>
    <xf numFmtId="0" fontId="10" fillId="0" borderId="8" xfId="5" applyFont="1" applyBorder="1" applyAlignment="1" applyProtection="1">
      <alignment horizontal="left" vertical="center" wrapText="1"/>
      <protection hidden="1"/>
    </xf>
    <xf numFmtId="0" fontId="0" fillId="0" borderId="46" xfId="0" applyFont="1" applyBorder="1" applyAlignment="1" applyProtection="1">
      <alignment vertical="center" wrapText="1"/>
      <protection hidden="1"/>
    </xf>
    <xf numFmtId="0" fontId="3" fillId="0" borderId="2" xfId="0" applyFont="1" applyBorder="1" applyAlignment="1" applyProtection="1">
      <alignment horizontal="left" vertical="center" wrapText="1"/>
      <protection hidden="1"/>
    </xf>
    <xf numFmtId="0" fontId="10" fillId="0" borderId="8" xfId="12" applyFont="1" applyBorder="1" applyAlignment="1" applyProtection="1">
      <alignment horizontal="left" vertical="center"/>
    </xf>
    <xf numFmtId="0" fontId="10" fillId="0" borderId="2" xfId="12" applyFont="1" applyBorder="1" applyAlignment="1" applyProtection="1">
      <alignment horizontal="left" vertical="center"/>
    </xf>
    <xf numFmtId="0" fontId="10" fillId="0" borderId="6" xfId="12" applyFont="1" applyBorder="1" applyAlignment="1" applyProtection="1">
      <alignment horizontal="left" vertical="center"/>
    </xf>
    <xf numFmtId="0" fontId="10" fillId="0" borderId="4" xfId="12" applyFont="1" applyBorder="1" applyAlignment="1" applyProtection="1">
      <alignment horizontal="left" vertical="center"/>
    </xf>
    <xf numFmtId="0" fontId="3" fillId="0" borderId="46" xfId="0"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3" fillId="0" borderId="59" xfId="0" applyFont="1" applyBorder="1" applyAlignment="1" applyProtection="1">
      <alignment horizontal="center" vertical="center"/>
      <protection hidden="1"/>
    </xf>
    <xf numFmtId="0" fontId="3" fillId="0" borderId="6"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3" fillId="0" borderId="18"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6" fillId="0" borderId="0" xfId="0" applyFont="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10" fillId="0" borderId="7" xfId="11" applyFont="1" applyBorder="1" applyAlignment="1" applyProtection="1">
      <alignment horizontal="left" vertical="center" wrapText="1"/>
    </xf>
    <xf numFmtId="0" fontId="10" fillId="0" borderId="7" xfId="11" applyFont="1" applyBorder="1" applyAlignment="1" applyProtection="1">
      <alignment horizontal="left" vertical="center"/>
    </xf>
    <xf numFmtId="0" fontId="0" fillId="0" borderId="7" xfId="0" applyBorder="1" applyAlignment="1" applyProtection="1">
      <alignment horizontal="center" vertical="center"/>
      <protection hidden="1"/>
    </xf>
    <xf numFmtId="0" fontId="10" fillId="0" borderId="2" xfId="12" applyFont="1" applyBorder="1" applyAlignment="1" applyProtection="1">
      <alignment horizontal="left" vertical="center" wrapText="1"/>
    </xf>
    <xf numFmtId="0" fontId="10" fillId="0" borderId="1" xfId="12" applyFont="1" applyBorder="1" applyAlignment="1" applyProtection="1">
      <alignment horizontal="left" vertical="center" wrapText="1"/>
    </xf>
    <xf numFmtId="0" fontId="10" fillId="8" borderId="107" xfId="29" applyNumberFormat="1" applyFont="1" applyFill="1" applyBorder="1" applyAlignment="1" applyProtection="1">
      <alignment horizontal="center" vertical="center" wrapText="1"/>
      <protection locked="0"/>
    </xf>
    <xf numFmtId="0" fontId="10" fillId="8" borderId="107" xfId="29" applyNumberFormat="1" applyFont="1" applyFill="1" applyBorder="1" applyAlignment="1" applyProtection="1">
      <alignment horizontal="center" vertical="center"/>
      <protection locked="0"/>
    </xf>
    <xf numFmtId="0" fontId="10" fillId="19" borderId="107" xfId="29" applyNumberFormat="1" applyFont="1" applyFill="1" applyBorder="1" applyAlignment="1" applyProtection="1">
      <alignment horizontal="center" vertical="center" wrapText="1"/>
      <protection locked="0"/>
    </xf>
    <xf numFmtId="0" fontId="10" fillId="19" borderId="107" xfId="29" applyNumberFormat="1" applyFont="1" applyFill="1" applyBorder="1" applyAlignment="1" applyProtection="1">
      <alignment horizontal="center" vertical="center"/>
      <protection locked="0"/>
    </xf>
    <xf numFmtId="0" fontId="10" fillId="13" borderId="107" xfId="28" applyNumberFormat="1" applyFont="1" applyFill="1" applyBorder="1" applyAlignment="1" applyProtection="1">
      <alignment horizontal="center" vertical="center" wrapText="1"/>
      <protection locked="0"/>
    </xf>
    <xf numFmtId="0" fontId="10" fillId="13" borderId="107" xfId="28" applyNumberFormat="1" applyFont="1" applyFill="1" applyBorder="1" applyAlignment="1" applyProtection="1">
      <alignment horizontal="center" vertical="center"/>
      <protection locked="0"/>
    </xf>
    <xf numFmtId="180" fontId="10" fillId="0" borderId="107" xfId="28" applyNumberFormat="1" applyFont="1" applyFill="1" applyBorder="1" applyAlignment="1" applyProtection="1">
      <alignment horizontal="center" vertical="center" wrapText="1"/>
      <protection locked="0"/>
    </xf>
    <xf numFmtId="180" fontId="10" fillId="0" borderId="107" xfId="28" applyNumberFormat="1" applyFont="1" applyFill="1" applyBorder="1" applyAlignment="1" applyProtection="1">
      <alignment horizontal="center" vertical="center"/>
      <protection locked="0"/>
    </xf>
    <xf numFmtId="0" fontId="10" fillId="18" borderId="107" xfId="28" applyNumberFormat="1" applyFont="1" applyFill="1" applyBorder="1" applyAlignment="1" applyProtection="1">
      <alignment horizontal="center" vertical="center"/>
      <protection locked="0"/>
    </xf>
    <xf numFmtId="200" fontId="10" fillId="18" borderId="107" xfId="28" applyNumberFormat="1" applyFont="1" applyFill="1" applyBorder="1" applyAlignment="1" applyProtection="1">
      <alignment horizontal="center" vertical="center"/>
      <protection locked="0"/>
    </xf>
    <xf numFmtId="0" fontId="10" fillId="8" borderId="107" xfId="28" applyNumberFormat="1" applyFont="1" applyFill="1" applyBorder="1" applyAlignment="1" applyProtection="1">
      <alignment horizontal="center" vertical="center"/>
      <protection locked="0"/>
    </xf>
    <xf numFmtId="0" fontId="10" fillId="8" borderId="107" xfId="28" applyFont="1" applyFill="1" applyBorder="1" applyAlignment="1" applyProtection="1">
      <alignment horizontal="center" vertical="center"/>
      <protection locked="0"/>
    </xf>
    <xf numFmtId="202" fontId="10" fillId="8" borderId="107" xfId="28" applyNumberFormat="1" applyFont="1" applyFill="1" applyBorder="1" applyAlignment="1" applyProtection="1">
      <alignment horizontal="center" vertical="center"/>
      <protection locked="0"/>
    </xf>
    <xf numFmtId="201" fontId="10" fillId="19" borderId="107" xfId="28" applyNumberFormat="1" applyFont="1" applyFill="1" applyBorder="1" applyAlignment="1" applyProtection="1">
      <alignment horizontal="center" vertical="center"/>
      <protection locked="0"/>
    </xf>
    <xf numFmtId="0" fontId="10" fillId="8" borderId="107" xfId="28" applyNumberFormat="1" applyFont="1" applyFill="1" applyBorder="1" applyAlignment="1" applyProtection="1">
      <alignment horizontal="center" vertical="center" wrapText="1"/>
      <protection locked="0"/>
    </xf>
    <xf numFmtId="201" fontId="50" fillId="19" borderId="107" xfId="28" applyNumberFormat="1" applyFont="1" applyFill="1" applyBorder="1" applyAlignment="1" applyProtection="1">
      <alignment horizontal="center" vertical="center" wrapText="1"/>
      <protection locked="0"/>
    </xf>
    <xf numFmtId="0" fontId="50" fillId="19" borderId="107" xfId="28" applyFont="1" applyFill="1" applyBorder="1" applyAlignment="1" applyProtection="1">
      <alignment horizontal="center" vertical="center"/>
      <protection locked="0"/>
    </xf>
    <xf numFmtId="0" fontId="10" fillId="0" borderId="107" xfId="28" applyNumberFormat="1" applyFont="1" applyFill="1" applyBorder="1" applyAlignment="1" applyProtection="1">
      <alignment horizontal="center" vertical="center"/>
      <protection locked="0"/>
    </xf>
    <xf numFmtId="0" fontId="10" fillId="0" borderId="107" xfId="28" applyNumberFormat="1" applyFont="1" applyFill="1" applyBorder="1" applyAlignment="1" applyProtection="1">
      <alignment horizontal="center" vertical="center" wrapText="1"/>
      <protection locked="0"/>
    </xf>
  </cellXfs>
  <cellStyles count="35">
    <cellStyle name="パーセント" xfId="1" builtinId="5"/>
    <cellStyle name="パーセント 2" xfId="19" xr:uid="{00000000-0005-0000-0000-000001000000}"/>
    <cellStyle name="パーセント 3" xfId="24" xr:uid="{00000000-0005-0000-0000-000002000000}"/>
    <cellStyle name="ハイパーリンク" xfId="33" builtinId="8"/>
    <cellStyle name="桁区切り" xfId="2" builtinId="6"/>
    <cellStyle name="桁区切り 2" xfId="3" xr:uid="{00000000-0005-0000-0000-000004000000}"/>
    <cellStyle name="桁区切り 2 2" xfId="15" xr:uid="{00000000-0005-0000-0000-000005000000}"/>
    <cellStyle name="桁区切り 3" xfId="20" xr:uid="{00000000-0005-0000-0000-000006000000}"/>
    <cellStyle name="桁区切り 4" xfId="25" xr:uid="{00000000-0005-0000-0000-000007000000}"/>
    <cellStyle name="標準" xfId="0" builtinId="0"/>
    <cellStyle name="標準 2" xfId="18" xr:uid="{00000000-0005-0000-0000-000009000000}"/>
    <cellStyle name="標準 3" xfId="23" xr:uid="{00000000-0005-0000-0000-00000A000000}"/>
    <cellStyle name="標準 3 2" xfId="27" xr:uid="{00000000-0005-0000-0000-00000B000000}"/>
    <cellStyle name="標準 4" xfId="22" xr:uid="{00000000-0005-0000-0000-00000C000000}"/>
    <cellStyle name="標準 5" xfId="34" xr:uid="{F77114B2-5ABF-4CFE-9288-85F7AF4C6417}"/>
    <cellStyle name="標準 6" xfId="30" xr:uid="{00000000-0005-0000-0000-00000D000000}"/>
    <cellStyle name="標準_（作業用）H21【北海道】諸経費動向調査対象工事一覧表" xfId="28" xr:uid="{00000000-0005-0000-0000-00000E000000}"/>
    <cellStyle name="標準_【入力例】発注_建設" xfId="4" xr:uid="{00000000-0005-0000-0000-00000F000000}"/>
    <cellStyle name="標準_【入力例】発注_建設_H20調査票修正一覧071213" xfId="5" xr:uid="{00000000-0005-0000-0000-000010000000}"/>
    <cellStyle name="標準_141028_ＬＥＤ用（案２）" xfId="16" xr:uid="{00000000-0005-0000-0000-000011000000}"/>
    <cellStyle name="標準_20121128_情報化施工調査票（案）齋藤_⑨発注" xfId="6" xr:uid="{00000000-0005-0000-0000-000012000000}"/>
    <cellStyle name="標準_20121128_情報化施工調査票（案）齋藤_元請_情報化施工" xfId="7" xr:uid="{00000000-0005-0000-0000-000013000000}"/>
    <cellStyle name="標準_20121128_情報化施工調査票（案）齋藤_元請_情報化施工 2" xfId="17" xr:uid="{00000000-0005-0000-0000-000014000000}"/>
    <cellStyle name="標準_Book1" xfId="8" xr:uid="{00000000-0005-0000-0000-000015000000}"/>
    <cellStyle name="標準_data table" xfId="26" xr:uid="{00000000-0005-0000-0000-000016000000}"/>
    <cellStyle name="標準_H12調査票元請" xfId="9" xr:uid="{00000000-0005-0000-0000-000017000000}"/>
    <cellStyle name="標準_H16諸経費変換" xfId="31" xr:uid="{00000000-0005-0000-0000-000018000000}"/>
    <cellStyle name="標準_技術管理費(下書き)" xfId="21" xr:uid="{00000000-0005-0000-0000-000019000000}"/>
    <cellStyle name="標準_準備：【下水】H20諸経費動向調査対象工事一覧表" xfId="29" xr:uid="{00000000-0005-0000-0000-00001A000000}"/>
    <cellStyle name="標準_追加調査票" xfId="10" xr:uid="{00000000-0005-0000-0000-00001B000000}"/>
    <cellStyle name="標準_発注チェック" xfId="11" xr:uid="{00000000-0005-0000-0000-00001C000000}"/>
    <cellStyle name="標準_発注チェック 2" xfId="14" xr:uid="{00000000-0005-0000-0000-00001D000000}"/>
    <cellStyle name="標準_発注チェック_H20調査票修正一覧071213" xfId="12" xr:uid="{00000000-0005-0000-0000-00001E000000}"/>
    <cellStyle name="標準_発注チェック_H20調査票修正一覧071213 2" xfId="32" xr:uid="{00000000-0005-0000-0000-00001F000000}"/>
    <cellStyle name="標準_平成16年度コスト調査（中部）（５月）" xfId="13" xr:uid="{00000000-0005-0000-0000-000020000000}"/>
  </cellStyles>
  <dxfs count="20">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dxf>
    <dxf>
      <font>
        <b/>
        <i val="0"/>
        <condense val="0"/>
        <extend val="0"/>
        <color indexed="10"/>
      </font>
    </dxf>
    <dxf>
      <font>
        <condense val="0"/>
        <extend val="0"/>
        <color indexed="10"/>
      </font>
    </dxf>
    <dxf>
      <font>
        <condense val="0"/>
        <extend val="0"/>
        <color auto="1"/>
      </font>
    </dxf>
    <dxf>
      <fill>
        <patternFill>
          <bgColor theme="0" tint="-0.24994659260841701"/>
        </patternFill>
      </fill>
    </dxf>
    <dxf>
      <fill>
        <patternFill>
          <bgColor theme="0" tint="-0.24994659260841701"/>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CCFFCC"/>
      <color rgb="FF99CCFF"/>
      <color rgb="FFFFFFCC"/>
      <color rgb="FFFFCCFF"/>
      <color rgb="FFFFFF99"/>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金額構成比率（金額チェックの参考）</a:t>
            </a:r>
          </a:p>
        </c:rich>
      </c:tx>
      <c:layout>
        <c:manualLayout>
          <c:xMode val="edge"/>
          <c:yMode val="edge"/>
          <c:x val="0.30677332664094281"/>
          <c:y val="2.5839726332408962E-2"/>
        </c:manualLayout>
      </c:layout>
      <c:overlay val="0"/>
      <c:spPr>
        <a:noFill/>
        <a:ln w="25400">
          <a:noFill/>
        </a:ln>
      </c:spPr>
    </c:title>
    <c:autoTitleDeleted val="0"/>
    <c:plotArea>
      <c:layout>
        <c:manualLayout>
          <c:layoutTarget val="inner"/>
          <c:xMode val="edge"/>
          <c:yMode val="edge"/>
          <c:x val="8.3665447150782266E-2"/>
          <c:y val="0.10411317588240573"/>
          <c:w val="0.71580438117890566"/>
          <c:h val="0.8226226242560456"/>
        </c:manualLayout>
      </c:layout>
      <c:barChart>
        <c:barDir val="col"/>
        <c:grouping val="stacked"/>
        <c:varyColors val="0"/>
        <c:ser>
          <c:idx val="9"/>
          <c:order val="0"/>
          <c:tx>
            <c:v>機械器具等損料</c:v>
          </c:tx>
          <c:spPr>
            <a:solidFill>
              <a:srgbClr val="CCFF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(チェック!$E$27,チェック!$G$27)</c:f>
              <c:numCache>
                <c:formatCode>0.0%</c:formatCode>
                <c:ptCount val="2"/>
                <c:pt idx="0">
                  <c:v>0</c:v>
                </c:pt>
                <c:pt idx="1">
                  <c:v>0</c:v>
                </c:pt>
              </c:numCache>
            </c:numRef>
          </c:val>
          <c:extLst>
            <c:ext xmlns:c16="http://schemas.microsoft.com/office/drawing/2014/chart" uri="{C3380CC4-5D6E-409C-BE32-E72D297353CC}">
              <c16:uniqueId val="{00000000-56BC-4552-A2B0-B8C59581E438}"/>
            </c:ext>
          </c:extLst>
        </c:ser>
        <c:ser>
          <c:idx val="8"/>
          <c:order val="1"/>
          <c:tx>
            <c:v>労務費</c:v>
          </c:tx>
          <c:spPr>
            <a:solidFill>
              <a:srgbClr val="FFFF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(チェック!$E$26,チェック!$G$26)</c:f>
              <c:numCache>
                <c:formatCode>0.0%</c:formatCode>
                <c:ptCount val="2"/>
                <c:pt idx="0">
                  <c:v>0</c:v>
                </c:pt>
                <c:pt idx="1">
                  <c:v>0</c:v>
                </c:pt>
              </c:numCache>
            </c:numRef>
          </c:val>
          <c:extLst>
            <c:ext xmlns:c16="http://schemas.microsoft.com/office/drawing/2014/chart" uri="{C3380CC4-5D6E-409C-BE32-E72D297353CC}">
              <c16:uniqueId val="{00000001-56BC-4552-A2B0-B8C59581E438}"/>
            </c:ext>
          </c:extLst>
        </c:ser>
        <c:ser>
          <c:idx val="1"/>
          <c:order val="2"/>
          <c:tx>
            <c:v>材料費</c:v>
          </c:tx>
          <c:spPr>
            <a:solidFill>
              <a:srgbClr val="CCFF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(チェック!$E$24,チェック!$G$24)</c:f>
              <c:numCache>
                <c:formatCode>0.0%</c:formatCode>
                <c:ptCount val="2"/>
                <c:pt idx="0">
                  <c:v>0</c:v>
                </c:pt>
                <c:pt idx="1">
                  <c:v>0</c:v>
                </c:pt>
              </c:numCache>
            </c:numRef>
          </c:val>
          <c:extLst>
            <c:ext xmlns:c16="http://schemas.microsoft.com/office/drawing/2014/chart" uri="{C3380CC4-5D6E-409C-BE32-E72D297353CC}">
              <c16:uniqueId val="{00000002-56BC-4552-A2B0-B8C59581E438}"/>
            </c:ext>
          </c:extLst>
        </c:ser>
        <c:ser>
          <c:idx val="11"/>
          <c:order val="3"/>
          <c:tx>
            <c:v>市場単価</c:v>
          </c:tx>
          <c:spPr>
            <a:solidFill>
              <a:srgbClr val="CC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(チェック!$E$29,チェック!$G$29)</c:f>
              <c:numCache>
                <c:formatCode>#,##0_);[Red]\(#,##0\)</c:formatCode>
                <c:ptCount val="2"/>
                <c:pt idx="0" formatCode="0.0%">
                  <c:v>0</c:v>
                </c:pt>
              </c:numCache>
            </c:numRef>
          </c:val>
          <c:extLst>
            <c:ext xmlns:c16="http://schemas.microsoft.com/office/drawing/2014/chart" uri="{C3380CC4-5D6E-409C-BE32-E72D297353CC}">
              <c16:uniqueId val="{00000003-56BC-4552-A2B0-B8C59581E438}"/>
            </c:ext>
          </c:extLst>
        </c:ser>
        <c:ser>
          <c:idx val="10"/>
          <c:order val="4"/>
          <c:tx>
            <c:v>その他</c:v>
          </c:tx>
          <c:spPr>
            <a:solidFill>
              <a:srgbClr val="99CC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(チェック!$E$30,チェック!$G$30)</c:f>
              <c:numCache>
                <c:formatCode>0.0%</c:formatCode>
                <c:ptCount val="2"/>
                <c:pt idx="0">
                  <c:v>0</c:v>
                </c:pt>
                <c:pt idx="1">
                  <c:v>0</c:v>
                </c:pt>
              </c:numCache>
            </c:numRef>
          </c:val>
          <c:extLst>
            <c:ext xmlns:c16="http://schemas.microsoft.com/office/drawing/2014/chart" uri="{C3380CC4-5D6E-409C-BE32-E72D297353CC}">
              <c16:uniqueId val="{00000004-56BC-4552-A2B0-B8C59581E438}"/>
            </c:ext>
          </c:extLst>
        </c:ser>
        <c:ser>
          <c:idx val="0"/>
          <c:order val="5"/>
          <c:tx>
            <c:v>共通仮設費</c:v>
          </c:tx>
          <c:spPr>
            <a:solidFill>
              <a:srgbClr val="FF99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5-56BC-4552-A2B0-B8C59581E438}"/>
            </c:ext>
          </c:extLst>
        </c:ser>
        <c:ser>
          <c:idx val="3"/>
          <c:order val="6"/>
          <c:tx>
            <c:v>現場管理費</c:v>
          </c:tx>
          <c:spPr>
            <a:solidFill>
              <a:srgbClr val="FFCC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6-56BC-4552-A2B0-B8C59581E438}"/>
            </c:ext>
          </c:extLst>
        </c:ser>
        <c:ser>
          <c:idx val="2"/>
          <c:order val="7"/>
          <c:tx>
            <c:v>補償費</c:v>
          </c:tx>
          <c:spPr>
            <a:solidFill>
              <a:srgbClr val="FF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7-56BC-4552-A2B0-B8C59581E438}"/>
            </c:ext>
          </c:extLst>
        </c:ser>
        <c:ser>
          <c:idx val="4"/>
          <c:order val="8"/>
          <c:tx>
            <c:v>機器間接費</c:v>
          </c:tx>
          <c:spPr>
            <a:solidFill>
              <a:srgbClr val="00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8-56BC-4552-A2B0-B8C59581E438}"/>
            </c:ext>
          </c:extLst>
        </c:ser>
        <c:ser>
          <c:idx val="7"/>
          <c:order val="9"/>
          <c:tx>
            <c:v>一般管理費等</c:v>
          </c:tx>
          <c:spPr>
            <a:solidFill>
              <a:srgbClr val="FF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9-56BC-4552-A2B0-B8C59581E438}"/>
            </c:ext>
          </c:extLst>
        </c:ser>
        <c:ser>
          <c:idx val="5"/>
          <c:order val="10"/>
          <c:tx>
            <c:v>鋼橋等工場製作費</c:v>
          </c:tx>
          <c:spPr>
            <a:solidFill>
              <a:srgbClr val="99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A-56BC-4552-A2B0-B8C59581E438}"/>
            </c:ext>
          </c:extLst>
        </c:ser>
        <c:ser>
          <c:idx val="6"/>
          <c:order val="11"/>
          <c:tx>
            <c:v>別途調査等工事価格</c:v>
          </c:tx>
          <c:spPr>
            <a:solidFill>
              <a:srgbClr val="3366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B-56BC-4552-A2B0-B8C59581E438}"/>
            </c:ext>
          </c:extLst>
        </c:ser>
        <c:dLbls>
          <c:showLegendKey val="0"/>
          <c:showVal val="0"/>
          <c:showCatName val="0"/>
          <c:showSerName val="0"/>
          <c:showPercent val="0"/>
          <c:showBubbleSize val="0"/>
        </c:dLbls>
        <c:gapWidth val="200"/>
        <c:overlap val="100"/>
        <c:axId val="134183424"/>
        <c:axId val="255439360"/>
      </c:barChart>
      <c:catAx>
        <c:axId val="134183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255439360"/>
        <c:crosses val="autoZero"/>
        <c:auto val="1"/>
        <c:lblAlgn val="ctr"/>
        <c:lblOffset val="100"/>
        <c:tickLblSkip val="1"/>
        <c:tickMarkSkip val="1"/>
        <c:noMultiLvlLbl val="0"/>
      </c:catAx>
      <c:valAx>
        <c:axId val="255439360"/>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34183424"/>
        <c:crosses val="autoZero"/>
        <c:crossBetween val="between"/>
      </c:valAx>
      <c:spPr>
        <a:solidFill>
          <a:srgbClr val="C0C0C0"/>
        </a:solidFill>
        <a:ln w="12700">
          <a:solidFill>
            <a:srgbClr val="808080"/>
          </a:solidFill>
          <a:prstDash val="solid"/>
        </a:ln>
      </c:spPr>
    </c:plotArea>
    <c:legend>
      <c:legendPos val="r"/>
      <c:layout>
        <c:manualLayout>
          <c:xMode val="edge"/>
          <c:yMode val="edge"/>
          <c:x val="0.80478192021227613"/>
          <c:y val="0.38688970297042463"/>
          <c:w val="0.18990728480256905"/>
          <c:h val="0.2904886141904187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11" r="0.750000000000003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altLang="en-US"/>
              <a:t>金額構成比率（金額チェックの参考）</a:t>
            </a:r>
          </a:p>
        </c:rich>
      </c:tx>
      <c:overlay val="0"/>
      <c:spPr>
        <a:noFill/>
        <a:ln w="25400">
          <a:noFill/>
        </a:ln>
      </c:spPr>
    </c:title>
    <c:autoTitleDeleted val="0"/>
    <c:plotArea>
      <c:layout/>
      <c:barChart>
        <c:barDir val="col"/>
        <c:grouping val="stacked"/>
        <c:varyColors val="0"/>
        <c:ser>
          <c:idx val="1"/>
          <c:order val="0"/>
          <c:tx>
            <c:v>直接工事費</c:v>
          </c:tx>
          <c:spPr>
            <a:solidFill>
              <a:srgbClr val="993366"/>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(チェック!$E$23,チェック!$G$23)</c:f>
              <c:numCache>
                <c:formatCode>0.0%</c:formatCode>
                <c:ptCount val="2"/>
                <c:pt idx="0">
                  <c:v>0</c:v>
                </c:pt>
                <c:pt idx="1">
                  <c:v>0</c:v>
                </c:pt>
              </c:numCache>
            </c:numRef>
          </c:val>
          <c:extLst>
            <c:ext xmlns:c16="http://schemas.microsoft.com/office/drawing/2014/chart" uri="{C3380CC4-5D6E-409C-BE32-E72D297353CC}">
              <c16:uniqueId val="{00000000-A9B8-4F76-BD2C-C686AF1712F7}"/>
            </c:ext>
          </c:extLst>
        </c:ser>
        <c:ser>
          <c:idx val="0"/>
          <c:order val="1"/>
          <c:tx>
            <c:v>共通仮設費</c:v>
          </c:tx>
          <c:spPr>
            <a:solidFill>
              <a:srgbClr val="9999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1-A9B8-4F76-BD2C-C686AF1712F7}"/>
            </c:ext>
          </c:extLst>
        </c:ser>
        <c:ser>
          <c:idx val="2"/>
          <c:order val="2"/>
          <c:tx>
            <c:v>補償費</c:v>
          </c:tx>
          <c:spPr>
            <a:solidFill>
              <a:srgbClr val="FFFF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2-A9B8-4F76-BD2C-C686AF1712F7}"/>
            </c:ext>
          </c:extLst>
        </c:ser>
        <c:ser>
          <c:idx val="3"/>
          <c:order val="3"/>
          <c:tx>
            <c:v>現場管理費</c:v>
          </c:tx>
          <c:spPr>
            <a:solidFill>
              <a:srgbClr val="CCFF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3-A9B8-4F76-BD2C-C686AF1712F7}"/>
            </c:ext>
          </c:extLst>
        </c:ser>
        <c:ser>
          <c:idx val="4"/>
          <c:order val="4"/>
          <c:tx>
            <c:v>技術者間接費</c:v>
          </c:tx>
          <c:spPr>
            <a:solidFill>
              <a:srgbClr val="FFCC0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4-A9B8-4F76-BD2C-C686AF1712F7}"/>
            </c:ext>
          </c:extLst>
        </c:ser>
        <c:ser>
          <c:idx val="7"/>
          <c:order val="5"/>
          <c:tx>
            <c:v>一般管理費等</c:v>
          </c:tx>
          <c:spPr>
            <a:solidFill>
              <a:srgbClr val="CCCCFF"/>
            </a:solidFill>
            <a:ln w="12700">
              <a:solidFill>
                <a:srgbClr val="000000"/>
              </a:solidFill>
              <a:prstDash val="solid"/>
            </a:ln>
          </c:spPr>
          <c:invertIfNegative val="0"/>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5-A9B8-4F76-BD2C-C686AF1712F7}"/>
            </c:ext>
          </c:extLst>
        </c:ser>
        <c:ser>
          <c:idx val="5"/>
          <c:order val="6"/>
          <c:tx>
            <c:v>鋼橋等工場製作費</c:v>
          </c:tx>
          <c:spPr>
            <a:solidFill>
              <a:srgbClr val="FF808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6-A9B8-4F76-BD2C-C686AF1712F7}"/>
            </c:ext>
          </c:extLst>
        </c:ser>
        <c:ser>
          <c:idx val="6"/>
          <c:order val="7"/>
          <c:tx>
            <c:v>別途調査等工事価格</c:v>
          </c:tx>
          <c:spPr>
            <a:solidFill>
              <a:srgbClr val="0066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7-A9B8-4F76-BD2C-C686AF1712F7}"/>
            </c:ext>
          </c:extLst>
        </c:ser>
        <c:dLbls>
          <c:showLegendKey val="0"/>
          <c:showVal val="0"/>
          <c:showCatName val="0"/>
          <c:showSerName val="0"/>
          <c:showPercent val="0"/>
          <c:showBubbleSize val="0"/>
        </c:dLbls>
        <c:gapWidth val="200"/>
        <c:overlap val="100"/>
        <c:axId val="134596608"/>
        <c:axId val="255442240"/>
      </c:barChart>
      <c:catAx>
        <c:axId val="134596608"/>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255442240"/>
        <c:crosses val="autoZero"/>
        <c:auto val="1"/>
        <c:lblAlgn val="ctr"/>
        <c:lblOffset val="100"/>
        <c:tickLblSkip val="2"/>
        <c:tickMarkSkip val="1"/>
        <c:noMultiLvlLbl val="0"/>
      </c:catAx>
      <c:valAx>
        <c:axId val="255442240"/>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4596608"/>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11" r="0.75000000000000311"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18</xdr:row>
      <xdr:rowOff>9525</xdr:rowOff>
    </xdr:from>
    <xdr:to>
      <xdr:col>8</xdr:col>
      <xdr:colOff>133350</xdr:colOff>
      <xdr:row>21</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ゴシック"/>
              <a:ea typeface="ＭＳ Ｐゴシック"/>
            </a:rPr>
            <a:t>発注用の</a:t>
          </a:r>
        </a:p>
        <a:p>
          <a:pPr algn="ctr" rtl="0">
            <a:defRPr sz="1000"/>
          </a:pPr>
          <a:r>
            <a:rPr lang="ja-JP" altLang="en-US" sz="1000" b="0" i="0" strike="noStrike">
              <a:solidFill>
                <a:srgbClr val="000000"/>
              </a:solidFill>
              <a:latin typeface="ＭＳ Ｐゴシック"/>
              <a:ea typeface="ＭＳ Ｐゴシック"/>
            </a:rPr>
            <a:t>ｼｰﾄ</a:t>
          </a:r>
        </a:p>
      </xdr:txBody>
    </xdr:sp>
    <xdr:clientData/>
  </xdr:twoCellAnchor>
  <xdr:twoCellAnchor>
    <xdr:from>
      <xdr:col>0</xdr:col>
      <xdr:colOff>71442</xdr:colOff>
      <xdr:row>29</xdr:row>
      <xdr:rowOff>0</xdr:rowOff>
    </xdr:from>
    <xdr:to>
      <xdr:col>34</xdr:col>
      <xdr:colOff>152400</xdr:colOff>
      <xdr:row>44</xdr:row>
      <xdr:rowOff>47624</xdr:rowOff>
    </xdr:to>
    <xdr:sp macro="" textlink="">
      <xdr:nvSpPr>
        <xdr:cNvPr id="3" name="正方形/長方形 2">
          <a:extLst>
            <a:ext uri="{FF2B5EF4-FFF2-40B4-BE49-F238E27FC236}">
              <a16:creationId xmlns:a16="http://schemas.microsoft.com/office/drawing/2014/main" id="{00000000-0008-0000-0000-000003000000}"/>
            </a:ext>
          </a:extLst>
        </xdr:cNvPr>
        <xdr:cNvSpPr>
          <a:spLocks noChangeAspect="1"/>
        </xdr:cNvSpPr>
      </xdr:nvSpPr>
      <xdr:spPr bwMode="auto">
        <a:xfrm>
          <a:off x="71442" y="4000500"/>
          <a:ext cx="6786558" cy="2352674"/>
        </a:xfrm>
        <a:prstGeom prst="rect">
          <a:avLst/>
        </a:prstGeom>
        <a:solidFill>
          <a:srgbClr val="FFFFFF"/>
        </a:solidFill>
        <a:ln w="38100" cap="flat" cmpd="sng" algn="ctr">
          <a:solidFill>
            <a:srgbClr val="FF0000"/>
          </a:solidFill>
          <a:prstDash val="solid"/>
          <a:round/>
          <a:headEnd type="none" w="med" len="med"/>
          <a:tailEnd type="none" w="med" len="med"/>
        </a:ln>
        <a:effectLst/>
      </xdr:spPr>
      <xdr:txBody>
        <a:bodyPr vertOverflow="clip" wrap="square" lIns="91440" tIns="45720" rIns="91440" bIns="45720" rtlCol="0" anchor="ctr" upright="1"/>
        <a:lstStyle/>
        <a:p>
          <a:pPr algn="ctr"/>
          <a:r>
            <a:rPr kumimoji="1" lang="ja-JP" altLang="en-US" sz="1100" b="1"/>
            <a:t>＜調査票入力に関する問合せ先＞</a:t>
          </a:r>
          <a:endParaRPr kumimoji="1" lang="en-US" altLang="ja-JP" sz="1100" b="1"/>
        </a:p>
        <a:p>
          <a:pPr algn="ctr"/>
          <a:endParaRPr kumimoji="1" lang="en-US" altLang="ja-JP" sz="1100"/>
        </a:p>
        <a:p>
          <a:pPr algn="l"/>
          <a:r>
            <a:rPr kumimoji="1" lang="en-US" altLang="ja-JP" sz="1100"/>
            <a:t>	</a:t>
          </a:r>
          <a:r>
            <a:rPr kumimoji="1" lang="ja-JP" altLang="en-US" sz="1100" b="1"/>
            <a:t>一般財団法人　国土技術研究センター</a:t>
          </a:r>
          <a:endParaRPr kumimoji="1" lang="en-US" altLang="ja-JP" sz="1100" b="1"/>
        </a:p>
        <a:p>
          <a:pPr algn="l"/>
          <a:r>
            <a:rPr kumimoji="1" lang="en-US" altLang="ja-JP" sz="1100" b="1"/>
            <a:t>		</a:t>
          </a:r>
          <a:r>
            <a:rPr kumimoji="1" lang="ja-JP" altLang="en-US" sz="1100" b="1"/>
            <a:t>技術・調達政策グループ</a:t>
          </a:r>
          <a:endParaRPr kumimoji="1" lang="en-US" altLang="ja-JP" sz="1100" b="1"/>
        </a:p>
        <a:p>
          <a:pPr algn="l"/>
          <a:r>
            <a:rPr kumimoji="1" lang="en-US" altLang="ja-JP" sz="1100" b="1"/>
            <a:t>	</a:t>
          </a:r>
          <a:r>
            <a:rPr kumimoji="1" lang="ja-JP" altLang="en-US" sz="1100" b="1"/>
            <a:t>〒</a:t>
          </a:r>
          <a:r>
            <a:rPr kumimoji="1" lang="en-US" altLang="ja-JP" sz="1100" b="1"/>
            <a:t>105-0001</a:t>
          </a:r>
          <a:r>
            <a:rPr kumimoji="1" lang="ja-JP" altLang="en-US" sz="1100" b="1"/>
            <a:t>　東京都港区虎ノ門</a:t>
          </a:r>
          <a:r>
            <a:rPr kumimoji="1" lang="en-US" altLang="ja-JP" sz="1100" b="1"/>
            <a:t>3-12-1</a:t>
          </a:r>
          <a:r>
            <a:rPr kumimoji="1" lang="ja-JP" altLang="en-US" sz="1100" b="1"/>
            <a:t>（ニッセイ虎ノ門ビル</a:t>
          </a:r>
          <a:r>
            <a:rPr kumimoji="1" lang="en-US" altLang="ja-JP" sz="1100" b="1"/>
            <a:t>9</a:t>
          </a:r>
          <a:r>
            <a:rPr kumimoji="1" lang="ja-JP" altLang="en-US" sz="1100" b="1"/>
            <a:t>階</a:t>
          </a:r>
          <a:r>
            <a:rPr kumimoji="1" lang="en-US" altLang="ja-JP" sz="1100"/>
            <a:t>)</a:t>
          </a:r>
        </a:p>
        <a:p>
          <a:pPr algn="l"/>
          <a:endParaRPr kumimoji="1" lang="en-US" altLang="ja-JP" sz="1100"/>
        </a:p>
        <a:p>
          <a:pPr algn="ctr"/>
          <a:r>
            <a:rPr kumimoji="1" lang="en-US" altLang="ja-JP" sz="1600" b="1"/>
            <a:t>TEL</a:t>
          </a:r>
          <a:r>
            <a:rPr kumimoji="1" lang="ja-JP" altLang="en-US" sz="1600" b="1"/>
            <a:t> 　</a:t>
          </a:r>
          <a:r>
            <a:rPr kumimoji="1" lang="en-US" altLang="ja-JP" sz="1600" b="1"/>
            <a:t>03-4519-5004</a:t>
          </a:r>
        </a:p>
        <a:p>
          <a:pPr algn="ctr"/>
          <a:r>
            <a:rPr kumimoji="1" lang="en-US" altLang="ja-JP" sz="1600" b="1"/>
            <a:t>FAX</a:t>
          </a:r>
          <a:r>
            <a:rPr kumimoji="1" lang="ja-JP" altLang="en-US" sz="1600" b="1"/>
            <a:t>　</a:t>
          </a:r>
          <a:r>
            <a:rPr kumimoji="1" lang="en-US" altLang="ja-JP" sz="1600" b="1"/>
            <a:t>03-4519-5015</a:t>
          </a:r>
        </a:p>
        <a:p>
          <a:pPr algn="ctr"/>
          <a:endParaRPr kumimoji="1" lang="en-US" altLang="ja-JP" sz="1100"/>
        </a:p>
        <a:p>
          <a:pPr algn="ctr"/>
          <a:r>
            <a:rPr kumimoji="1" lang="ja-JP" altLang="en-US" sz="1000"/>
            <a:t>注</a:t>
          </a:r>
          <a:r>
            <a:rPr kumimoji="1" lang="en-US" altLang="ja-JP" sz="1000"/>
            <a:t>)</a:t>
          </a:r>
          <a:r>
            <a:rPr kumimoji="1" lang="ja-JP" altLang="en-US" sz="1000"/>
            <a:t>：問合せは平日</a:t>
          </a:r>
          <a:r>
            <a:rPr kumimoji="1" lang="en-US" altLang="ja-JP" sz="1000"/>
            <a:t>(</a:t>
          </a:r>
          <a:r>
            <a:rPr kumimoji="1" lang="ja-JP" altLang="en-US" sz="1000"/>
            <a:t>祝日を除く月曜日～金曜日</a:t>
          </a:r>
          <a:r>
            <a:rPr kumimoji="1" lang="en-US" altLang="ja-JP" sz="1000"/>
            <a:t>)</a:t>
          </a:r>
          <a:r>
            <a:rPr kumimoji="1" lang="ja-JP" altLang="en-US" sz="1000"/>
            <a:t>の午前９時３０分から１２時、午後１時から午後６時の間にお願いします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209638</xdr:colOff>
      <xdr:row>237</xdr:row>
      <xdr:rowOff>294555</xdr:rowOff>
    </xdr:from>
    <xdr:to>
      <xdr:col>40</xdr:col>
      <xdr:colOff>209373</xdr:colOff>
      <xdr:row>258</xdr:row>
      <xdr:rowOff>280608</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17365844" y="49272265"/>
          <a:ext cx="7675764" cy="0"/>
          <a:chOff x="9217819" y="35025806"/>
          <a:chExt cx="7729537" cy="8898732"/>
        </a:xfrm>
      </xdr:grpSpPr>
      <xdr:pic>
        <xdr:nvPicPr>
          <xdr:cNvPr id="32" name="Picture 394">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7819" y="35025806"/>
            <a:ext cx="7543800" cy="8898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3" name="円/楕円 11">
            <a:extLst>
              <a:ext uri="{FF2B5EF4-FFF2-40B4-BE49-F238E27FC236}">
                <a16:creationId xmlns:a16="http://schemas.microsoft.com/office/drawing/2014/main" id="{00000000-0008-0000-0300-000021000000}"/>
              </a:ext>
            </a:extLst>
          </xdr:cNvPr>
          <xdr:cNvSpPr>
            <a:spLocks noChangeArrowheads="1"/>
          </xdr:cNvSpPr>
        </xdr:nvSpPr>
        <xdr:spPr bwMode="auto">
          <a:xfrm>
            <a:off x="12075319" y="37409438"/>
            <a:ext cx="4872037" cy="16859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円/楕円 12">
            <a:extLst>
              <a:ext uri="{FF2B5EF4-FFF2-40B4-BE49-F238E27FC236}">
                <a16:creationId xmlns:a16="http://schemas.microsoft.com/office/drawing/2014/main" id="{00000000-0008-0000-0300-000022000000}"/>
              </a:ext>
            </a:extLst>
          </xdr:cNvPr>
          <xdr:cNvSpPr>
            <a:spLocks noChangeArrowheads="1"/>
          </xdr:cNvSpPr>
        </xdr:nvSpPr>
        <xdr:spPr bwMode="auto">
          <a:xfrm>
            <a:off x="12008644" y="35849719"/>
            <a:ext cx="4267200" cy="1090612"/>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円/楕円 13">
            <a:extLst>
              <a:ext uri="{FF2B5EF4-FFF2-40B4-BE49-F238E27FC236}">
                <a16:creationId xmlns:a16="http://schemas.microsoft.com/office/drawing/2014/main" id="{00000000-0008-0000-0300-000023000000}"/>
              </a:ext>
            </a:extLst>
          </xdr:cNvPr>
          <xdr:cNvSpPr>
            <a:spLocks noChangeArrowheads="1"/>
          </xdr:cNvSpPr>
        </xdr:nvSpPr>
        <xdr:spPr bwMode="auto">
          <a:xfrm>
            <a:off x="12027694" y="39319200"/>
            <a:ext cx="4919662" cy="239077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247650</xdr:colOff>
      <xdr:row>224</xdr:row>
      <xdr:rowOff>0</xdr:rowOff>
    </xdr:from>
    <xdr:to>
      <xdr:col>2</xdr:col>
      <xdr:colOff>247650</xdr:colOff>
      <xdr:row>226</xdr:row>
      <xdr:rowOff>28575</xdr:rowOff>
    </xdr:to>
    <xdr:sp macro="" textlink="">
      <xdr:nvSpPr>
        <xdr:cNvPr id="8" name="Line 18">
          <a:extLst>
            <a:ext uri="{FF2B5EF4-FFF2-40B4-BE49-F238E27FC236}">
              <a16:creationId xmlns:a16="http://schemas.microsoft.com/office/drawing/2014/main" id="{457872EB-3171-4C18-99F7-04DBEC639F4C}"/>
            </a:ext>
          </a:extLst>
        </xdr:cNvPr>
        <xdr:cNvSpPr>
          <a:spLocks noChangeShapeType="1"/>
        </xdr:cNvSpPr>
      </xdr:nvSpPr>
      <xdr:spPr bwMode="auto">
        <a:xfrm flipV="1">
          <a:off x="1066800" y="47567850"/>
          <a:ext cx="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432228</xdr:colOff>
      <xdr:row>2</xdr:row>
      <xdr:rowOff>0</xdr:rowOff>
    </xdr:from>
    <xdr:to>
      <xdr:col>32</xdr:col>
      <xdr:colOff>274946</xdr:colOff>
      <xdr:row>37</xdr:row>
      <xdr:rowOff>38998</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06552" y="347382"/>
          <a:ext cx="7485130" cy="7199557"/>
        </a:xfrm>
        <a:prstGeom prst="rect">
          <a:avLst/>
        </a:prstGeom>
        <a:noFill/>
      </xdr:spPr>
    </xdr:pic>
    <xdr:clientData/>
  </xdr:twoCellAnchor>
  <xdr:twoCellAnchor editAs="oneCell">
    <xdr:from>
      <xdr:col>22</xdr:col>
      <xdr:colOff>157445</xdr:colOff>
      <xdr:row>37</xdr:row>
      <xdr:rowOff>161925</xdr:rowOff>
    </xdr:from>
    <xdr:to>
      <xdr:col>30</xdr:col>
      <xdr:colOff>281270</xdr:colOff>
      <xdr:row>52</xdr:row>
      <xdr:rowOff>8677</xdr:rowOff>
    </xdr:to>
    <xdr:pic>
      <xdr:nvPicPr>
        <xdr:cNvPr id="6" name="Picture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15327" y="7669866"/>
          <a:ext cx="5715560" cy="245772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1027579</xdr:colOff>
      <xdr:row>5</xdr:row>
      <xdr:rowOff>117662</xdr:rowOff>
    </xdr:from>
    <xdr:ext cx="2050177" cy="32573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62432" y="1563221"/>
          <a:ext cx="2050177" cy="3257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1400" b="1"/>
            <a:t>図１　施工箇所分散の例</a:t>
          </a:r>
        </a:p>
      </xdr:txBody>
    </xdr:sp>
    <xdr:clientData/>
  </xdr:oneCellAnchor>
  <xdr:twoCellAnchor editAs="oneCell">
    <xdr:from>
      <xdr:col>6</xdr:col>
      <xdr:colOff>609600</xdr:colOff>
      <xdr:row>6</xdr:row>
      <xdr:rowOff>333375</xdr:rowOff>
    </xdr:from>
    <xdr:to>
      <xdr:col>9</xdr:col>
      <xdr:colOff>110378</xdr:colOff>
      <xdr:row>24</xdr:row>
      <xdr:rowOff>71437</xdr:rowOff>
    </xdr:to>
    <xdr:pic>
      <xdr:nvPicPr>
        <xdr:cNvPr id="492559" name="Picture 2" descr="aaa">
          <a:extLst>
            <a:ext uri="{FF2B5EF4-FFF2-40B4-BE49-F238E27FC236}">
              <a16:creationId xmlns:a16="http://schemas.microsoft.com/office/drawing/2014/main" id="{00000000-0008-0000-0500-00000F840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67325" y="1933575"/>
          <a:ext cx="447675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161925</xdr:colOff>
      <xdr:row>43</xdr:row>
      <xdr:rowOff>0</xdr:rowOff>
    </xdr:from>
    <xdr:to>
      <xdr:col>3</xdr:col>
      <xdr:colOff>161925</xdr:colOff>
      <xdr:row>43</xdr:row>
      <xdr:rowOff>0</xdr:rowOff>
    </xdr:to>
    <xdr:sp macro="" textlink="">
      <xdr:nvSpPr>
        <xdr:cNvPr id="4483" name="Line 1">
          <a:extLst>
            <a:ext uri="{FF2B5EF4-FFF2-40B4-BE49-F238E27FC236}">
              <a16:creationId xmlns:a16="http://schemas.microsoft.com/office/drawing/2014/main" id="{00000000-0008-0000-0600-000083110000}"/>
            </a:ext>
          </a:extLst>
        </xdr:cNvPr>
        <xdr:cNvSpPr>
          <a:spLocks noChangeShapeType="1"/>
        </xdr:cNvSpPr>
      </xdr:nvSpPr>
      <xdr:spPr bwMode="auto">
        <a:xfrm flipH="1">
          <a:off x="847725" y="8181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161925</xdr:colOff>
      <xdr:row>53</xdr:row>
      <xdr:rowOff>0</xdr:rowOff>
    </xdr:from>
    <xdr:to>
      <xdr:col>3</xdr:col>
      <xdr:colOff>161925</xdr:colOff>
      <xdr:row>53</xdr:row>
      <xdr:rowOff>0</xdr:rowOff>
    </xdr:to>
    <xdr:sp macro="" textlink="">
      <xdr:nvSpPr>
        <xdr:cNvPr id="4484" name="Line 1">
          <a:extLst>
            <a:ext uri="{FF2B5EF4-FFF2-40B4-BE49-F238E27FC236}">
              <a16:creationId xmlns:a16="http://schemas.microsoft.com/office/drawing/2014/main" id="{00000000-0008-0000-0600-000084110000}"/>
            </a:ext>
          </a:extLst>
        </xdr:cNvPr>
        <xdr:cNvSpPr>
          <a:spLocks noChangeShapeType="1"/>
        </xdr:cNvSpPr>
      </xdr:nvSpPr>
      <xdr:spPr bwMode="auto">
        <a:xfrm flipH="1">
          <a:off x="847725" y="955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370417</xdr:colOff>
      <xdr:row>7</xdr:row>
      <xdr:rowOff>116416</xdr:rowOff>
    </xdr:from>
    <xdr:to>
      <xdr:col>27</xdr:col>
      <xdr:colOff>355600</xdr:colOff>
      <xdr:row>15</xdr:row>
      <xdr:rowOff>149225</xdr:rowOff>
    </xdr:to>
    <xdr:grpSp>
      <xdr:nvGrpSpPr>
        <xdr:cNvPr id="3" name="グループ化 2">
          <a:extLst>
            <a:ext uri="{FF2B5EF4-FFF2-40B4-BE49-F238E27FC236}">
              <a16:creationId xmlns:a16="http://schemas.microsoft.com/office/drawing/2014/main" id="{C72C79BB-BBCC-48B8-B97E-051404BE7A48}"/>
            </a:ext>
          </a:extLst>
        </xdr:cNvPr>
        <xdr:cNvGrpSpPr/>
      </xdr:nvGrpSpPr>
      <xdr:grpSpPr>
        <a:xfrm>
          <a:off x="11609917" y="1696445"/>
          <a:ext cx="8053418" cy="1500780"/>
          <a:chOff x="13223564" y="1696445"/>
          <a:chExt cx="8053418" cy="1500780"/>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3223564" y="1696445"/>
            <a:ext cx="8053418" cy="1500780"/>
            <a:chOff x="6555441" y="5233147"/>
            <a:chExt cx="8134349" cy="1704975"/>
          </a:xfrm>
        </xdr:grpSpPr>
        <xdr:pic>
          <xdr:nvPicPr>
            <xdr:cNvPr id="5" name="Picture 3">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74540" y="5814172"/>
              <a:ext cx="7048500" cy="695325"/>
            </a:xfrm>
            <a:prstGeom prst="rect">
              <a:avLst/>
            </a:prstGeom>
            <a:noFill/>
            <a:ln>
              <a:solidFill>
                <a:schemeClr val="tx1"/>
              </a:solidFill>
            </a:ln>
          </xdr:spPr>
        </xdr:pic>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564965" y="5233147"/>
              <a:ext cx="8124825" cy="17049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555441" y="5233147"/>
              <a:ext cx="1381124"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rgbClr val="FF0000"/>
                  </a:solidFill>
                </a:rPr>
                <a:t>入力例</a:t>
              </a:r>
              <a:endParaRPr kumimoji="1" lang="ja-JP" altLang="en-US" sz="1100">
                <a:solidFill>
                  <a:srgbClr val="FF0000"/>
                </a:solidFill>
              </a:endParaRPr>
            </a:p>
          </xdr:txBody>
        </xdr:sp>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858684" y="5373780"/>
              <a:ext cx="47625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センサス番号がない場合は下記の入力をしてください。</a:t>
              </a:r>
            </a:p>
          </xdr:txBody>
        </xdr:sp>
      </xdr:grpSp>
      <xdr:sp macro="" textlink="">
        <xdr:nvSpPr>
          <xdr:cNvPr id="2" name="テキスト ボックス 1">
            <a:extLst>
              <a:ext uri="{FF2B5EF4-FFF2-40B4-BE49-F238E27FC236}">
                <a16:creationId xmlns:a16="http://schemas.microsoft.com/office/drawing/2014/main" id="{909ABB61-F6EC-44A0-A4D8-8D323F7DF035}"/>
              </a:ext>
            </a:extLst>
          </xdr:cNvPr>
          <xdr:cNvSpPr txBox="1"/>
        </xdr:nvSpPr>
        <xdr:spPr>
          <a:xfrm>
            <a:off x="13884088" y="2644589"/>
            <a:ext cx="3619499" cy="179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900"/>
              <a:t>交通量調査基本区間番号（センサス番号）</a:t>
            </a:r>
            <a:r>
              <a:rPr kumimoji="1" lang="en-US" altLang="ja-JP" sz="900"/>
              <a:t>11</a:t>
            </a:r>
            <a:r>
              <a:rPr kumimoji="1" lang="ja-JP" altLang="en-US" sz="900"/>
              <a:t>桁</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415694</xdr:colOff>
      <xdr:row>11</xdr:row>
      <xdr:rowOff>103908</xdr:rowOff>
    </xdr:from>
    <xdr:to>
      <xdr:col>35</xdr:col>
      <xdr:colOff>587085</xdr:colOff>
      <xdr:row>77</xdr:row>
      <xdr:rowOff>26844</xdr:rowOff>
    </xdr:to>
    <xdr:grpSp>
      <xdr:nvGrpSpPr>
        <xdr:cNvPr id="2" name="グループ化 1">
          <a:extLst>
            <a:ext uri="{FF2B5EF4-FFF2-40B4-BE49-F238E27FC236}">
              <a16:creationId xmlns:a16="http://schemas.microsoft.com/office/drawing/2014/main" id="{065CB93A-6D08-4EEA-BC9C-269B064B328A}"/>
            </a:ext>
          </a:extLst>
        </xdr:cNvPr>
        <xdr:cNvGrpSpPr/>
      </xdr:nvGrpSpPr>
      <xdr:grpSpPr>
        <a:xfrm>
          <a:off x="9788294" y="1742208"/>
          <a:ext cx="13887391" cy="13248411"/>
          <a:chOff x="9875439" y="242616"/>
          <a:chExt cx="14027460" cy="13369638"/>
        </a:xfrm>
      </xdr:grpSpPr>
      <xdr:sp macro="" textlink="">
        <xdr:nvSpPr>
          <xdr:cNvPr id="3" name="テキスト ボックス 2">
            <a:extLst>
              <a:ext uri="{FF2B5EF4-FFF2-40B4-BE49-F238E27FC236}">
                <a16:creationId xmlns:a16="http://schemas.microsoft.com/office/drawing/2014/main" id="{C709DE10-01F6-4016-B126-F843AA7695DE}"/>
              </a:ext>
            </a:extLst>
          </xdr:cNvPr>
          <xdr:cNvSpPr txBox="1"/>
        </xdr:nvSpPr>
        <xdr:spPr>
          <a:xfrm>
            <a:off x="12109218" y="242616"/>
            <a:ext cx="11793681" cy="1336963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solidFill>
                  <a:srgbClr val="FF0000"/>
                </a:solidFill>
              </a:rPr>
              <a:t>貼付方法</a:t>
            </a:r>
          </a:p>
        </xdr:txBody>
      </xdr:sp>
      <xdr:grpSp>
        <xdr:nvGrpSpPr>
          <xdr:cNvPr id="4" name="グループ化 3">
            <a:extLst>
              <a:ext uri="{FF2B5EF4-FFF2-40B4-BE49-F238E27FC236}">
                <a16:creationId xmlns:a16="http://schemas.microsoft.com/office/drawing/2014/main" id="{CF9C7C24-59E6-431F-9259-1136101A53AD}"/>
              </a:ext>
            </a:extLst>
          </xdr:cNvPr>
          <xdr:cNvGrpSpPr/>
        </xdr:nvGrpSpPr>
        <xdr:grpSpPr>
          <a:xfrm>
            <a:off x="9875439" y="1335408"/>
            <a:ext cx="10962663" cy="11990933"/>
            <a:chOff x="9836473" y="363425"/>
            <a:chExt cx="14561815" cy="14562250"/>
          </a:xfrm>
        </xdr:grpSpPr>
        <xdr:grpSp>
          <xdr:nvGrpSpPr>
            <xdr:cNvPr id="5" name="グループ化 4">
              <a:extLst>
                <a:ext uri="{FF2B5EF4-FFF2-40B4-BE49-F238E27FC236}">
                  <a16:creationId xmlns:a16="http://schemas.microsoft.com/office/drawing/2014/main" id="{2B6E973F-D462-4DAD-8EBA-5EEE343EA74C}"/>
                </a:ext>
              </a:extLst>
            </xdr:cNvPr>
            <xdr:cNvGrpSpPr/>
          </xdr:nvGrpSpPr>
          <xdr:grpSpPr>
            <a:xfrm>
              <a:off x="13755731" y="363425"/>
              <a:ext cx="8152384" cy="5146534"/>
              <a:chOff x="9659471" y="605116"/>
              <a:chExt cx="8072300" cy="5144622"/>
            </a:xfrm>
          </xdr:grpSpPr>
          <xdr:pic>
            <xdr:nvPicPr>
              <xdr:cNvPr id="19" name="図 18">
                <a:extLst>
                  <a:ext uri="{FF2B5EF4-FFF2-40B4-BE49-F238E27FC236}">
                    <a16:creationId xmlns:a16="http://schemas.microsoft.com/office/drawing/2014/main" id="{BB57FD28-0DFB-4DDC-85CB-DFEB93C05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471" y="952500"/>
                <a:ext cx="5051612" cy="47972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0" name="吹き出し: 四角形 19">
                <a:extLst>
                  <a:ext uri="{FF2B5EF4-FFF2-40B4-BE49-F238E27FC236}">
                    <a16:creationId xmlns:a16="http://schemas.microsoft.com/office/drawing/2014/main" id="{907B23B0-CFDD-410F-BB86-5FF3B601DC72}"/>
                  </a:ext>
                </a:extLst>
              </xdr:cNvPr>
              <xdr:cNvSpPr/>
            </xdr:nvSpPr>
            <xdr:spPr bwMode="auto">
              <a:xfrm>
                <a:off x="14242676" y="605116"/>
                <a:ext cx="3489095" cy="739589"/>
              </a:xfrm>
              <a:prstGeom prst="wedgeRectCallout">
                <a:avLst>
                  <a:gd name="adj1" fmla="val -46213"/>
                  <a:gd name="adj2" fmla="val 87889"/>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元請調査票の「まとめ」シートの赤枠を全て選択し、コピーする。</a:t>
                </a:r>
              </a:p>
            </xdr:txBody>
          </xdr:sp>
        </xdr:grpSp>
        <xdr:grpSp>
          <xdr:nvGrpSpPr>
            <xdr:cNvPr id="6" name="グループ化 5">
              <a:extLst>
                <a:ext uri="{FF2B5EF4-FFF2-40B4-BE49-F238E27FC236}">
                  <a16:creationId xmlns:a16="http://schemas.microsoft.com/office/drawing/2014/main" id="{883E25A1-79A6-485F-B66E-580B6E88E5D5}"/>
                </a:ext>
              </a:extLst>
            </xdr:cNvPr>
            <xdr:cNvGrpSpPr/>
          </xdr:nvGrpSpPr>
          <xdr:grpSpPr>
            <a:xfrm>
              <a:off x="9836473" y="6830494"/>
              <a:ext cx="7056786" cy="6732979"/>
              <a:chOff x="9858121" y="6449495"/>
              <a:chExt cx="7080440" cy="6942961"/>
            </a:xfrm>
          </xdr:grpSpPr>
          <xdr:pic>
            <xdr:nvPicPr>
              <xdr:cNvPr id="15" name="図 14">
                <a:extLst>
                  <a:ext uri="{FF2B5EF4-FFF2-40B4-BE49-F238E27FC236}">
                    <a16:creationId xmlns:a16="http://schemas.microsoft.com/office/drawing/2014/main" id="{D0C8D44A-A629-46EC-AC35-1FFA99CF3D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58121" y="6449495"/>
                <a:ext cx="6141536" cy="6942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6" name="吹き出し: 四角形 15">
                <a:extLst>
                  <a:ext uri="{FF2B5EF4-FFF2-40B4-BE49-F238E27FC236}">
                    <a16:creationId xmlns:a16="http://schemas.microsoft.com/office/drawing/2014/main" id="{F80BF923-5904-4354-B08F-E80CD610CD54}"/>
                  </a:ext>
                </a:extLst>
              </xdr:cNvPr>
              <xdr:cNvSpPr/>
            </xdr:nvSpPr>
            <xdr:spPr bwMode="auto">
              <a:xfrm>
                <a:off x="12874538" y="7879773"/>
                <a:ext cx="4064023" cy="1368137"/>
              </a:xfrm>
              <a:prstGeom prst="wedgeRectCallout">
                <a:avLst>
                  <a:gd name="adj1" fmla="val -35075"/>
                  <a:gd name="adj2" fmla="val 10411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発注調査票の「元請調査票」シートのセル</a:t>
                </a:r>
                <a:r>
                  <a:rPr kumimoji="1" lang="en-US" altLang="ja-JP" sz="1600" b="1">
                    <a:solidFill>
                      <a:srgbClr val="FF0000"/>
                    </a:solidFill>
                    <a:latin typeface="+mj-ea"/>
                    <a:ea typeface="+mj-ea"/>
                  </a:rPr>
                  <a:t>B8</a:t>
                </a:r>
                <a:r>
                  <a:rPr kumimoji="1" lang="ja-JP" altLang="en-US" sz="1400" b="1">
                    <a:solidFill>
                      <a:srgbClr val="FF0000"/>
                    </a:solidFill>
                  </a:rPr>
                  <a:t>で、右クリックし、「形式を選択して貼り付け」の「値」で貼り付けする。</a:t>
                </a:r>
              </a:p>
            </xdr:txBody>
          </xdr:sp>
          <xdr:sp macro="" textlink="">
            <xdr:nvSpPr>
              <xdr:cNvPr id="17" name="正方形/長方形 16">
                <a:extLst>
                  <a:ext uri="{FF2B5EF4-FFF2-40B4-BE49-F238E27FC236}">
                    <a16:creationId xmlns:a16="http://schemas.microsoft.com/office/drawing/2014/main" id="{77E7049B-042B-46FC-8607-E1B8CCAA9BB1}"/>
                  </a:ext>
                </a:extLst>
              </xdr:cNvPr>
              <xdr:cNvSpPr/>
            </xdr:nvSpPr>
            <xdr:spPr bwMode="auto">
              <a:xfrm>
                <a:off x="10862575" y="8935162"/>
                <a:ext cx="1811278" cy="285241"/>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A6A76050-326E-4014-808D-454B9C03B518}"/>
                  </a:ext>
                </a:extLst>
              </xdr:cNvPr>
              <xdr:cNvSpPr/>
            </xdr:nvSpPr>
            <xdr:spPr bwMode="auto">
              <a:xfrm>
                <a:off x="12940757" y="9975274"/>
                <a:ext cx="498151" cy="78237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7" name="矢印: 下 6">
              <a:extLst>
                <a:ext uri="{FF2B5EF4-FFF2-40B4-BE49-F238E27FC236}">
                  <a16:creationId xmlns:a16="http://schemas.microsoft.com/office/drawing/2014/main" id="{0CAA79A0-A431-41CF-8335-7032559040E6}"/>
                </a:ext>
                <a:ext uri="{C183D7F6-B498-43B3-948B-1728B52AA6E4}">
                  <adec:decorative xmlns:adec="http://schemas.microsoft.com/office/drawing/2017/decorative" val="0"/>
                </a:ext>
              </a:extLst>
            </xdr:cNvPr>
            <xdr:cNvSpPr/>
          </xdr:nvSpPr>
          <xdr:spPr bwMode="auto">
            <a:xfrm>
              <a:off x="13681364" y="5771284"/>
              <a:ext cx="1415761" cy="850756"/>
            </a:xfrm>
            <a:prstGeom prst="downArrow">
              <a:avLst/>
            </a:prstGeom>
            <a:ln>
              <a:solidFill>
                <a:schemeClr val="accent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200">
                  <a:solidFill>
                    <a:schemeClr val="accent6"/>
                  </a:solidFill>
                </a:rPr>
                <a:t>方法①</a:t>
              </a:r>
            </a:p>
          </xdr:txBody>
        </xdr:sp>
        <xdr:sp macro="" textlink="">
          <xdr:nvSpPr>
            <xdr:cNvPr id="8" name="矢印: 下 7">
              <a:extLst>
                <a:ext uri="{FF2B5EF4-FFF2-40B4-BE49-F238E27FC236}">
                  <a16:creationId xmlns:a16="http://schemas.microsoft.com/office/drawing/2014/main" id="{B2FF9D08-122B-4169-92BE-AF2EE1E81A14}"/>
                </a:ext>
                <a:ext uri="{C183D7F6-B498-43B3-948B-1728B52AA6E4}">
                  <adec:decorative xmlns:adec="http://schemas.microsoft.com/office/drawing/2017/decorative" val="0"/>
                </a:ext>
              </a:extLst>
            </xdr:cNvPr>
            <xdr:cNvSpPr/>
          </xdr:nvSpPr>
          <xdr:spPr bwMode="auto">
            <a:xfrm>
              <a:off x="17601768" y="5771283"/>
              <a:ext cx="1415761" cy="850756"/>
            </a:xfrm>
            <a:prstGeom prst="downArrow">
              <a:avLst/>
            </a:prstGeom>
            <a:ln w="28575">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r>
                <a:rPr kumimoji="1" lang="ja-JP" altLang="en-US" sz="1200">
                  <a:solidFill>
                    <a:schemeClr val="accent5"/>
                  </a:solidFill>
                </a:rPr>
                <a:t>方法②</a:t>
              </a:r>
            </a:p>
          </xdr:txBody>
        </xdr:sp>
        <xdr:grpSp>
          <xdr:nvGrpSpPr>
            <xdr:cNvPr id="9" name="グループ化 8">
              <a:extLst>
                <a:ext uri="{FF2B5EF4-FFF2-40B4-BE49-F238E27FC236}">
                  <a16:creationId xmlns:a16="http://schemas.microsoft.com/office/drawing/2014/main" id="{F1354629-6628-4919-94C6-4EE85A1EF926}"/>
                </a:ext>
              </a:extLst>
            </xdr:cNvPr>
            <xdr:cNvGrpSpPr/>
          </xdr:nvGrpSpPr>
          <xdr:grpSpPr>
            <a:xfrm>
              <a:off x="17668875" y="6834188"/>
              <a:ext cx="6729413" cy="8091487"/>
              <a:chOff x="17668875" y="6834188"/>
              <a:chExt cx="6729413" cy="8091487"/>
            </a:xfrm>
          </xdr:grpSpPr>
          <xdr:pic>
            <xdr:nvPicPr>
              <xdr:cNvPr id="10" name="図 9">
                <a:extLst>
                  <a:ext uri="{FF2B5EF4-FFF2-40B4-BE49-F238E27FC236}">
                    <a16:creationId xmlns:a16="http://schemas.microsoft.com/office/drawing/2014/main" id="{0B5714A4-462C-472E-85DF-1B4C133D37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68875" y="6834188"/>
                <a:ext cx="6729413" cy="8091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1" name="吹き出し: 四角形 10">
                <a:extLst>
                  <a:ext uri="{FF2B5EF4-FFF2-40B4-BE49-F238E27FC236}">
                    <a16:creationId xmlns:a16="http://schemas.microsoft.com/office/drawing/2014/main" id="{D2121010-4119-4C61-A54C-DB0E525EF5DF}"/>
                  </a:ext>
                </a:extLst>
              </xdr:cNvPr>
              <xdr:cNvSpPr/>
            </xdr:nvSpPr>
            <xdr:spPr bwMode="auto">
              <a:xfrm>
                <a:off x="20645869" y="8465994"/>
                <a:ext cx="3585639" cy="1316183"/>
              </a:xfrm>
              <a:prstGeom prst="wedgeRectCallout">
                <a:avLst>
                  <a:gd name="adj1" fmla="val -98075"/>
                  <a:gd name="adj2" fmla="val -3481"/>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発注調査票の「元請調査票」シートのセル</a:t>
                </a:r>
                <a:r>
                  <a:rPr kumimoji="1" lang="en-US" altLang="ja-JP" sz="1600" b="1">
                    <a:solidFill>
                      <a:srgbClr val="FF0000"/>
                    </a:solidFill>
                    <a:latin typeface="+mj-ea"/>
                    <a:ea typeface="+mj-ea"/>
                  </a:rPr>
                  <a:t>B8</a:t>
                </a:r>
                <a:r>
                  <a:rPr kumimoji="1" lang="ja-JP" altLang="en-US" sz="1400" b="1">
                    <a:solidFill>
                      <a:srgbClr val="FF0000"/>
                    </a:solidFill>
                  </a:rPr>
                  <a:t>を選択し、「ホーム」の「貼り付け」にある「Ｖ」から「値」で貼り付けする。</a:t>
                </a:r>
              </a:p>
            </xdr:txBody>
          </xdr:sp>
          <xdr:sp macro="" textlink="">
            <xdr:nvSpPr>
              <xdr:cNvPr id="12" name="正方形/長方形 11">
                <a:extLst>
                  <a:ext uri="{FF2B5EF4-FFF2-40B4-BE49-F238E27FC236}">
                    <a16:creationId xmlns:a16="http://schemas.microsoft.com/office/drawing/2014/main" id="{74D45809-673C-4FAE-900E-B40D210DDA15}"/>
                  </a:ext>
                </a:extLst>
              </xdr:cNvPr>
              <xdr:cNvSpPr/>
            </xdr:nvSpPr>
            <xdr:spPr bwMode="auto">
              <a:xfrm>
                <a:off x="19017529" y="6896534"/>
                <a:ext cx="638403" cy="32298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3AD28ADE-3264-46E4-9A1F-383A862D7634}"/>
                  </a:ext>
                </a:extLst>
              </xdr:cNvPr>
              <xdr:cNvSpPr/>
            </xdr:nvSpPr>
            <xdr:spPr bwMode="auto">
              <a:xfrm>
                <a:off x="18401003" y="7694839"/>
                <a:ext cx="477982" cy="156792"/>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1E8A6FD7-54E5-4A15-964E-A2DCBF96D80A}"/>
                  </a:ext>
                </a:extLst>
              </xdr:cNvPr>
              <xdr:cNvSpPr/>
            </xdr:nvSpPr>
            <xdr:spPr bwMode="auto">
              <a:xfrm>
                <a:off x="18326965" y="8955665"/>
                <a:ext cx="621291" cy="71221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17</xdr:row>
      <xdr:rowOff>28575</xdr:rowOff>
    </xdr:from>
    <xdr:to>
      <xdr:col>16</xdr:col>
      <xdr:colOff>2143125</xdr:colOff>
      <xdr:row>35</xdr:row>
      <xdr:rowOff>323850</xdr:rowOff>
    </xdr:to>
    <xdr:graphicFrame macro="">
      <xdr:nvGraphicFramePr>
        <xdr:cNvPr id="15301" name="Chart 73">
          <a:extLst>
            <a:ext uri="{FF2B5EF4-FFF2-40B4-BE49-F238E27FC236}">
              <a16:creationId xmlns:a16="http://schemas.microsoft.com/office/drawing/2014/main" id="{00000000-0008-0000-0D00-0000C5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48</xdr:row>
      <xdr:rowOff>28575</xdr:rowOff>
    </xdr:from>
    <xdr:to>
      <xdr:col>9</xdr:col>
      <xdr:colOff>0</xdr:colOff>
      <xdr:row>49</xdr:row>
      <xdr:rowOff>142875</xdr:rowOff>
    </xdr:to>
    <xdr:sp macro="" textlink="">
      <xdr:nvSpPr>
        <xdr:cNvPr id="453727" name="Line 2">
          <a:extLst>
            <a:ext uri="{FF2B5EF4-FFF2-40B4-BE49-F238E27FC236}">
              <a16:creationId xmlns:a16="http://schemas.microsoft.com/office/drawing/2014/main" id="{00000000-0008-0000-0E00-00005FEC0600}"/>
            </a:ext>
          </a:extLst>
        </xdr:cNvPr>
        <xdr:cNvSpPr>
          <a:spLocks noChangeShapeType="1"/>
        </xdr:cNvSpPr>
      </xdr:nvSpPr>
      <xdr:spPr bwMode="auto">
        <a:xfrm>
          <a:off x="10048875" y="187928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53728" name="Line 3">
          <a:extLst>
            <a:ext uri="{FF2B5EF4-FFF2-40B4-BE49-F238E27FC236}">
              <a16:creationId xmlns:a16="http://schemas.microsoft.com/office/drawing/2014/main" id="{00000000-0008-0000-0E00-000060EC0600}"/>
            </a:ext>
          </a:extLst>
        </xdr:cNvPr>
        <xdr:cNvSpPr>
          <a:spLocks noChangeShapeType="1"/>
        </xdr:cNvSpPr>
      </xdr:nvSpPr>
      <xdr:spPr bwMode="auto">
        <a:xfrm>
          <a:off x="100488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453729" name="Line 4">
          <a:extLst>
            <a:ext uri="{FF2B5EF4-FFF2-40B4-BE49-F238E27FC236}">
              <a16:creationId xmlns:a16="http://schemas.microsoft.com/office/drawing/2014/main" id="{00000000-0008-0000-0E00-000061EC0600}"/>
            </a:ext>
          </a:extLst>
        </xdr:cNvPr>
        <xdr:cNvSpPr>
          <a:spLocks noChangeShapeType="1"/>
        </xdr:cNvSpPr>
      </xdr:nvSpPr>
      <xdr:spPr bwMode="auto">
        <a:xfrm>
          <a:off x="10048875" y="626745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17</xdr:row>
      <xdr:rowOff>0</xdr:rowOff>
    </xdr:from>
    <xdr:to>
      <xdr:col>9</xdr:col>
      <xdr:colOff>0</xdr:colOff>
      <xdr:row>18</xdr:row>
      <xdr:rowOff>0</xdr:rowOff>
    </xdr:to>
    <xdr:sp macro="" textlink="">
      <xdr:nvSpPr>
        <xdr:cNvPr id="453730" name="Line 5">
          <a:extLst>
            <a:ext uri="{FF2B5EF4-FFF2-40B4-BE49-F238E27FC236}">
              <a16:creationId xmlns:a16="http://schemas.microsoft.com/office/drawing/2014/main" id="{00000000-0008-0000-0E00-000062EC0600}"/>
            </a:ext>
          </a:extLst>
        </xdr:cNvPr>
        <xdr:cNvSpPr>
          <a:spLocks noChangeShapeType="1"/>
        </xdr:cNvSpPr>
      </xdr:nvSpPr>
      <xdr:spPr bwMode="auto">
        <a:xfrm>
          <a:off x="10048875" y="665797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graphicFrame macro="">
      <xdr:nvGraphicFramePr>
        <xdr:cNvPr id="453731" name="Chart 6">
          <a:extLst>
            <a:ext uri="{FF2B5EF4-FFF2-40B4-BE49-F238E27FC236}">
              <a16:creationId xmlns:a16="http://schemas.microsoft.com/office/drawing/2014/main" id="{00000000-0008-0000-0E00-000063E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306</xdr:row>
      <xdr:rowOff>85725</xdr:rowOff>
    </xdr:from>
    <xdr:to>
      <xdr:col>4</xdr:col>
      <xdr:colOff>276225</xdr:colOff>
      <xdr:row>340</xdr:row>
      <xdr:rowOff>152400</xdr:rowOff>
    </xdr:to>
    <xdr:sp macro="" textlink="">
      <xdr:nvSpPr>
        <xdr:cNvPr id="504833" name="Line 1">
          <a:extLst>
            <a:ext uri="{FF2B5EF4-FFF2-40B4-BE49-F238E27FC236}">
              <a16:creationId xmlns:a16="http://schemas.microsoft.com/office/drawing/2014/main" id="{00000000-0008-0000-0F00-000001B40700}"/>
            </a:ext>
          </a:extLst>
        </xdr:cNvPr>
        <xdr:cNvSpPr>
          <a:spLocks noChangeShapeType="1"/>
        </xdr:cNvSpPr>
      </xdr:nvSpPr>
      <xdr:spPr bwMode="auto">
        <a:xfrm>
          <a:off x="7381875" y="57711975"/>
          <a:ext cx="0" cy="7953375"/>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276225</xdr:colOff>
      <xdr:row>236</xdr:row>
      <xdr:rowOff>9525</xdr:rowOff>
    </xdr:from>
    <xdr:to>
      <xdr:col>4</xdr:col>
      <xdr:colOff>276225</xdr:colOff>
      <xdr:row>290</xdr:row>
      <xdr:rowOff>85725</xdr:rowOff>
    </xdr:to>
    <xdr:sp macro="" textlink="">
      <xdr:nvSpPr>
        <xdr:cNvPr id="504835" name="Line 3">
          <a:extLst>
            <a:ext uri="{FF2B5EF4-FFF2-40B4-BE49-F238E27FC236}">
              <a16:creationId xmlns:a16="http://schemas.microsoft.com/office/drawing/2014/main" id="{00000000-0008-0000-0F00-000003B40700}"/>
            </a:ext>
          </a:extLst>
        </xdr:cNvPr>
        <xdr:cNvSpPr>
          <a:spLocks noChangeShapeType="1"/>
        </xdr:cNvSpPr>
      </xdr:nvSpPr>
      <xdr:spPr bwMode="auto">
        <a:xfrm flipV="1">
          <a:off x="7381875" y="49749075"/>
          <a:ext cx="0" cy="7962900"/>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38100</xdr:colOff>
      <xdr:row>295</xdr:row>
      <xdr:rowOff>152400</xdr:rowOff>
    </xdr:from>
    <xdr:to>
      <xdr:col>7</xdr:col>
      <xdr:colOff>419100</xdr:colOff>
      <xdr:row>304</xdr:row>
      <xdr:rowOff>38100</xdr:rowOff>
    </xdr:to>
    <xdr:sp macro="" textlink="">
      <xdr:nvSpPr>
        <xdr:cNvPr id="504836" name="Text Box 4">
          <a:extLst>
            <a:ext uri="{FF2B5EF4-FFF2-40B4-BE49-F238E27FC236}">
              <a16:creationId xmlns:a16="http://schemas.microsoft.com/office/drawing/2014/main" id="{00000000-0008-0000-0F00-000004B40700}"/>
            </a:ext>
          </a:extLst>
        </xdr:cNvPr>
        <xdr:cNvSpPr txBox="1">
          <a:spLocks noChangeArrowheads="1"/>
        </xdr:cNvSpPr>
      </xdr:nvSpPr>
      <xdr:spPr bwMode="auto">
        <a:xfrm>
          <a:off x="6457950" y="56578500"/>
          <a:ext cx="3124200" cy="914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lnSpc>
              <a:spcPts val="2000"/>
            </a:lnSpc>
            <a:defRPr sz="1000"/>
          </a:pPr>
          <a:r>
            <a:rPr lang="ja-JP" altLang="en-US" sz="1800" b="1" i="0" u="none" strike="noStrike" baseline="0">
              <a:solidFill>
                <a:srgbClr val="FF0000"/>
              </a:solidFill>
              <a:latin typeface="ＭＳ Ｐゴシック"/>
              <a:ea typeface="ＭＳ Ｐゴシック"/>
            </a:rPr>
            <a:t>政令市、中核市、特例市は毎年情報を確認・更新する。</a:t>
          </a:r>
          <a:endParaRPr lang="en-US" altLang="ja-JP" sz="1800" b="1" i="0" u="none" strike="noStrike" baseline="0">
            <a:solidFill>
              <a:srgbClr val="FF0000"/>
            </a:solidFill>
            <a:latin typeface="ＭＳ Ｐゴシック"/>
            <a:ea typeface="ＭＳ Ｐゴシック"/>
          </a:endParaRPr>
        </a:p>
        <a:p>
          <a:pPr algn="l" rtl="0">
            <a:lnSpc>
              <a:spcPts val="2000"/>
            </a:lnSpc>
            <a:defRPr sz="1000"/>
          </a:pPr>
          <a:r>
            <a:rPr lang="ja-JP" altLang="en-US" sz="1800" b="1" i="0" u="none" strike="noStrike" baseline="0">
              <a:solidFill>
                <a:srgbClr val="FF0000"/>
              </a:solidFill>
              <a:latin typeface="ＭＳ Ｐゴシック"/>
              <a:ea typeface="ＭＳ Ｐゴシック"/>
            </a:rPr>
            <a:t>（</a:t>
          </a:r>
          <a:r>
            <a:rPr lang="en-US" altLang="ja-JP" sz="1800" b="1" i="0" u="none" strike="noStrike" baseline="0">
              <a:solidFill>
                <a:srgbClr val="FF0000"/>
              </a:solidFill>
              <a:latin typeface="ＭＳ Ｐゴシック"/>
              <a:ea typeface="ＭＳ Ｐゴシック"/>
            </a:rPr>
            <a:t>20200916</a:t>
          </a:r>
          <a:r>
            <a:rPr lang="ja-JP" altLang="en-US" sz="1800" b="1" i="0" u="none" strike="noStrike" baseline="0">
              <a:solidFill>
                <a:srgbClr val="FF0000"/>
              </a:solidFill>
              <a:latin typeface="ＭＳ Ｐゴシック"/>
              <a:ea typeface="ＭＳ Ｐゴシック"/>
            </a:rPr>
            <a:t>修正）</a:t>
          </a:r>
        </a:p>
      </xdr:txBody>
    </xdr:sp>
    <xdr:clientData/>
  </xdr:twoCellAnchor>
  <xdr:twoCellAnchor>
    <xdr:from>
      <xdr:col>5</xdr:col>
      <xdr:colOff>476250</xdr:colOff>
      <xdr:row>373</xdr:row>
      <xdr:rowOff>38098</xdr:rowOff>
    </xdr:from>
    <xdr:to>
      <xdr:col>5</xdr:col>
      <xdr:colOff>476250</xdr:colOff>
      <xdr:row>392</xdr:row>
      <xdr:rowOff>0</xdr:rowOff>
    </xdr:to>
    <xdr:sp macro="" textlink="">
      <xdr:nvSpPr>
        <xdr:cNvPr id="5" name="Line 3">
          <a:extLst>
            <a:ext uri="{FF2B5EF4-FFF2-40B4-BE49-F238E27FC236}">
              <a16:creationId xmlns:a16="http://schemas.microsoft.com/office/drawing/2014/main" id="{00000000-0008-0000-0F00-000005000000}"/>
            </a:ext>
          </a:extLst>
        </xdr:cNvPr>
        <xdr:cNvSpPr>
          <a:spLocks noChangeShapeType="1"/>
        </xdr:cNvSpPr>
      </xdr:nvSpPr>
      <xdr:spPr bwMode="auto">
        <a:xfrm flipV="1">
          <a:off x="8505825" y="71380348"/>
          <a:ext cx="0" cy="3219452"/>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419100</xdr:colOff>
      <xdr:row>393</xdr:row>
      <xdr:rowOff>104775</xdr:rowOff>
    </xdr:from>
    <xdr:to>
      <xdr:col>8</xdr:col>
      <xdr:colOff>171450</xdr:colOff>
      <xdr:row>400</xdr:row>
      <xdr:rowOff>28575</xdr:rowOff>
    </xdr:to>
    <xdr:sp macro="" textlink="">
      <xdr:nvSpPr>
        <xdr:cNvPr id="6" name="Text Box 4">
          <a:extLst>
            <a:ext uri="{FF2B5EF4-FFF2-40B4-BE49-F238E27FC236}">
              <a16:creationId xmlns:a16="http://schemas.microsoft.com/office/drawing/2014/main" id="{00000000-0008-0000-0F00-000006000000}"/>
            </a:ext>
          </a:extLst>
        </xdr:cNvPr>
        <xdr:cNvSpPr txBox="1">
          <a:spLocks noChangeArrowheads="1"/>
        </xdr:cNvSpPr>
      </xdr:nvSpPr>
      <xdr:spPr bwMode="auto">
        <a:xfrm>
          <a:off x="7762875" y="74876025"/>
          <a:ext cx="2495550" cy="11239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lnSpc>
              <a:spcPts val="2000"/>
            </a:lnSpc>
            <a:defRPr sz="1000"/>
          </a:pPr>
          <a:r>
            <a:rPr lang="ja-JP" altLang="en-US" sz="1800" b="1" i="0" u="none" strike="noStrike" baseline="0">
              <a:solidFill>
                <a:srgbClr val="FF0000"/>
              </a:solidFill>
              <a:latin typeface="ＭＳ Ｐゴシック"/>
              <a:ea typeface="ＭＳ Ｐゴシック"/>
            </a:rPr>
            <a:t>工種が変更された際には要確認。</a:t>
          </a:r>
        </a:p>
      </xdr:txBody>
    </xdr:sp>
    <xdr:clientData/>
  </xdr:twoCellAnchor>
  <xdr:twoCellAnchor>
    <xdr:from>
      <xdr:col>5</xdr:col>
      <xdr:colOff>476250</xdr:colOff>
      <xdr:row>400</xdr:row>
      <xdr:rowOff>28574</xdr:rowOff>
    </xdr:from>
    <xdr:to>
      <xdr:col>5</xdr:col>
      <xdr:colOff>476250</xdr:colOff>
      <xdr:row>412</xdr:row>
      <xdr:rowOff>152399</xdr:rowOff>
    </xdr:to>
    <xdr:sp macro="" textlink="">
      <xdr:nvSpPr>
        <xdr:cNvPr id="7" name="Line 3">
          <a:extLst>
            <a:ext uri="{FF2B5EF4-FFF2-40B4-BE49-F238E27FC236}">
              <a16:creationId xmlns:a16="http://schemas.microsoft.com/office/drawing/2014/main" id="{00000000-0008-0000-0F00-000007000000}"/>
            </a:ext>
          </a:extLst>
        </xdr:cNvPr>
        <xdr:cNvSpPr>
          <a:spLocks noChangeShapeType="1"/>
        </xdr:cNvSpPr>
      </xdr:nvSpPr>
      <xdr:spPr bwMode="auto">
        <a:xfrm>
          <a:off x="8505825" y="75999974"/>
          <a:ext cx="0" cy="2181225"/>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1k-tokyo04\S150\10_M&#25216;&#34899;&#37096;\H31&#26989;&#21209;(2019)\01_&#38306;&#20418;&#27861;&#20154;\01_&#22269;&#22303;c\S15019000_&#35576;&#32076;&#36027;&#21205;&#21521;&#35519;&#26619;\05-&#35519;&#26619;&#31080;&#25913;&#20462;\191003_2019&#35519;&#26619;&#31080;\01_&#24314;&#35373;\2019&#35519;&#26619;&#31080;&#65288;&#26696;&#65289;\02_&#21463;&#27880;\&#9322;&#20803;&#35531;_191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096;&#20869;&#65291;&#12466;&#12473;&#12488;/K2/&#21463;&#35351;&#20107;&#26989;&#38306;&#36899;/5301_&#35576;&#32076;&#36027;&#21450;&#12403;&#24037;&#20107;&#12467;&#12473;&#12488;&#65288;&#20849;&#26377;&#65289;/2020&#24180;&#24230;&#65288;R2&#65289;/&#9733;&#9733;R2&#35519;&#26619;&#31080;/201216_&#35519;&#26619;&#31080;&#12539;&#12510;&#12491;&#12517;&#12450;&#12523;&#20462;&#27491;/201216_&#24314;&#35373;/&#9320;&#30330;&#27880;2012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19;&#30330;&#27880;(&#28207;&#2828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21;&#20803;&#35531;(&#28207;&#2828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r1k-tokyo02\s150\Users\003471\Desktop\&#9320;&#30330;&#27880;(KKS&#22793;&#26356;&#2446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r1k-tokyo02\s150\20150303_&#30906;&#35469;&#12471;&#12540;&#12488;&#35519;&#25972;\&#30330;&#27880;&#65288;&#19979;&#27700;&#6528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ce-fs01\&#25216;&#34899;&#12539;&#35519;&#36948;&#25919;&#31574;&#12464;&#12523;&#12540;&#12503;\K2\&#21463;&#35351;&#20107;&#26989;&#38306;&#36899;\5301_&#35576;&#32076;&#36027;&#21450;&#12403;&#24037;&#20107;&#12467;&#12473;&#12488;&#65288;&#20849;&#26377;&#65289;\2015&#24180;&#24230;\&#9679;H27&#35519;&#26619;&#31080;&#12539;&#12510;&#12491;&#12517;&#12450;&#12523;&#12539;&#12481;&#12455;&#12483;&#12463;&#12522;&#12473;&#12488;\01_&#24314;&#35373;\&#24314;&#35373;&#65288;151103&#29256;&#65289;&#12304;&#23436;&#25104;&#29256;&#12305;\01_&#35519;&#26619;&#31080;\&#9320;&#30330;&#278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参照用】建設機械リスト_"/>
      <sheetName val="9_工事費"/>
      <sheetName val="10_下請入力"/>
      <sheetName val="11_組織図（削除予定）"/>
      <sheetName val="12_社員等従業員給料等_下請"/>
      <sheetName val="13_法定福利費_下請"/>
      <sheetName val="14_労務管理費_下請"/>
      <sheetName val="15-1_機器材運搬費_下請"/>
      <sheetName val="15-2_建設機械Ⅰ_下請"/>
      <sheetName val="15-3_建設機械Ⅱ_下請"/>
      <sheetName val="【参照用】建設機械リスト"/>
      <sheetName val="16-1_品質管理"/>
      <sheetName val="16-2_特殊な品質管理"/>
      <sheetName val="16-3_現場条件等"/>
      <sheetName val="16-4_各種調査"/>
      <sheetName val="16-5_各種台帳"/>
      <sheetName val="16-6_ICT建設機械"/>
      <sheetName val="16-7_その他"/>
      <sheetName val="17-1_準備・測量"/>
      <sheetName val="17-2_その他"/>
      <sheetName val="18-1_現場環境改善_仮設備"/>
      <sheetName val="18-2_現場環境改善_営繕"/>
      <sheetName val="18-3_現場環境改善_安全"/>
      <sheetName val="18-4_現場環境改善_地域"/>
      <sheetName val="18-5_現場環境改善_その他"/>
      <sheetName val="19_工事保険"/>
      <sheetName val="20_組立保険"/>
      <sheetName val="21_ICT"/>
      <sheetName val="22_ICT_詳細調査"/>
      <sheetName val="23_週休２日_詳細調査"/>
      <sheetName val="24_快適トイレ"/>
      <sheetName val="25_確認"/>
      <sheetName val="まとめ"/>
      <sheetName val="form"/>
      <sheetName val="Sheet1"/>
      <sheetName val="table"/>
      <sheetName val="基礎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
          <cell r="B3" t="str">
            <v>101：東北地方整備局</v>
          </cell>
        </row>
        <row r="86">
          <cell r="B86" t="str">
            <v>本社一律方式で、請負金額に割り掛ける</v>
          </cell>
        </row>
        <row r="87">
          <cell r="B87" t="str">
            <v>支店別一律方式で、請負金額に割り掛ける</v>
          </cell>
        </row>
        <row r="88">
          <cell r="B88" t="str">
            <v>本社一律方式で、当初積算された工事原価に割り掛ける</v>
          </cell>
        </row>
        <row r="89">
          <cell r="B89" t="str">
            <v>支店別一律方式で、当初積算された工事原価に割り掛ける</v>
          </cell>
        </row>
        <row r="90">
          <cell r="B90" t="str">
            <v>その他の方法（具体的な説明を加える）</v>
          </cell>
        </row>
        <row r="93">
          <cell r="B93" t="str">
            <v>前払金の有無を考慮せずに本支店経費を算出している場合</v>
          </cell>
        </row>
        <row r="94">
          <cell r="B94" t="str">
            <v>前払金の有無を考慮して本支店経費を算出している場合</v>
          </cell>
        </row>
        <row r="110">
          <cell r="B110" t="str">
            <v>降雨</v>
          </cell>
        </row>
        <row r="111">
          <cell r="B111" t="str">
            <v>降雪</v>
          </cell>
        </row>
        <row r="112">
          <cell r="B112" t="str">
            <v>風</v>
          </cell>
        </row>
        <row r="113">
          <cell r="B113" t="str">
            <v>波浪</v>
          </cell>
        </row>
        <row r="114">
          <cell r="B114" t="str">
            <v>その他</v>
          </cell>
        </row>
        <row r="117">
          <cell r="B117" t="str">
            <v>毎週</v>
          </cell>
        </row>
        <row r="118">
          <cell r="B118" t="str">
            <v>月３回</v>
          </cell>
        </row>
        <row r="119">
          <cell r="B119" t="str">
            <v>月２回</v>
          </cell>
        </row>
        <row r="120">
          <cell r="B120" t="str">
            <v>月１回</v>
          </cell>
        </row>
        <row r="121">
          <cell r="B121" t="str">
            <v>なし</v>
          </cell>
        </row>
        <row r="124">
          <cell r="B124" t="str">
            <v>適当であった</v>
          </cell>
        </row>
        <row r="125">
          <cell r="B125" t="str">
            <v>十分余裕があった</v>
          </cell>
        </row>
        <row r="126">
          <cell r="B126" t="str">
            <v>まったく余裕がなかった</v>
          </cell>
        </row>
        <row r="130">
          <cell r="B130" t="str">
            <v>有</v>
          </cell>
        </row>
        <row r="131">
          <cell r="B131" t="str">
            <v>無</v>
          </cell>
        </row>
        <row r="134">
          <cell r="B134" t="str">
            <v>昼間施工</v>
          </cell>
        </row>
        <row r="135">
          <cell r="B135" t="str">
            <v>夜間施工</v>
          </cell>
        </row>
        <row r="136">
          <cell r="B136" t="str">
            <v>昼夜間施工</v>
          </cell>
        </row>
        <row r="139">
          <cell r="B139" t="str">
            <v>路上</v>
          </cell>
        </row>
        <row r="140">
          <cell r="B140" t="str">
            <v>その他</v>
          </cell>
        </row>
        <row r="143">
          <cell r="B143" t="str">
            <v>日々運搬回送</v>
          </cell>
        </row>
        <row r="144">
          <cell r="B144" t="str">
            <v>保管場所あり</v>
          </cell>
        </row>
        <row r="147">
          <cell r="B147" t="str">
            <v>Yes</v>
          </cell>
        </row>
        <row r="148">
          <cell r="B148" t="str">
            <v>No</v>
          </cell>
        </row>
        <row r="175">
          <cell r="B175" t="str">
            <v>技術職員</v>
          </cell>
        </row>
        <row r="176">
          <cell r="B176" t="str">
            <v>事務職員</v>
          </cell>
        </row>
        <row r="177">
          <cell r="B177" t="str">
            <v>その他</v>
          </cell>
        </row>
        <row r="180">
          <cell r="B180" t="str">
            <v>YES</v>
          </cell>
        </row>
        <row r="181">
          <cell r="B181" t="str">
            <v>NO</v>
          </cell>
        </row>
        <row r="187">
          <cell r="B187" t="str">
            <v>水力発電施設、ずい道等新設事業</v>
          </cell>
          <cell r="C187">
            <v>0.19</v>
          </cell>
          <cell r="D187">
            <v>62</v>
          </cell>
        </row>
        <row r="188">
          <cell r="B188" t="str">
            <v>道路新設事業</v>
          </cell>
          <cell r="C188">
            <v>0.19</v>
          </cell>
          <cell r="D188">
            <v>11</v>
          </cell>
        </row>
        <row r="189">
          <cell r="B189" t="str">
            <v>舗装工事業</v>
          </cell>
          <cell r="C189">
            <v>0.17</v>
          </cell>
          <cell r="D189">
            <v>9</v>
          </cell>
        </row>
        <row r="190">
          <cell r="B190" t="str">
            <v>鉄道又は軌道新設事業</v>
          </cell>
          <cell r="C190">
            <v>0.24</v>
          </cell>
          <cell r="D190">
            <v>9</v>
          </cell>
        </row>
        <row r="191">
          <cell r="B191" t="str">
            <v>建築事業（既設建築物設備工事業を除く）</v>
          </cell>
          <cell r="C191">
            <v>0.23</v>
          </cell>
          <cell r="D191">
            <v>9.5</v>
          </cell>
        </row>
        <row r="192">
          <cell r="B192" t="str">
            <v>既設建築物設備工事業</v>
          </cell>
          <cell r="C192">
            <v>0.23</v>
          </cell>
          <cell r="D192">
            <v>12</v>
          </cell>
        </row>
        <row r="193">
          <cell r="B193" t="str">
            <v>機械装置の組立て又は据付けの事業（組立て又は取付けに関するもの）</v>
          </cell>
          <cell r="C193">
            <v>0.38</v>
          </cell>
          <cell r="D193">
            <v>6.5</v>
          </cell>
        </row>
        <row r="194">
          <cell r="B194" t="str">
            <v>機械装置の組立て又は据付けの事業（その他のもの）</v>
          </cell>
          <cell r="C194">
            <v>0.21</v>
          </cell>
          <cell r="D194">
            <v>6.5</v>
          </cell>
        </row>
        <row r="195">
          <cell r="B195" t="str">
            <v>その他の建設事業</v>
          </cell>
          <cell r="C195">
            <v>0.24</v>
          </cell>
          <cell r="D195">
            <v>15</v>
          </cell>
        </row>
        <row r="198">
          <cell r="B198" t="str">
            <v>1：支払い賃金合計×保険料率</v>
          </cell>
        </row>
        <row r="199">
          <cell r="B199" t="str">
            <v>2：（工事請負金×労務比率）×保険料率</v>
          </cell>
        </row>
        <row r="246">
          <cell r="B246" t="str">
            <v>最小限の安全対策</v>
          </cell>
        </row>
        <row r="247">
          <cell r="B247" t="str">
            <v>通常の安全対策</v>
          </cell>
        </row>
        <row r="248">
          <cell r="B248" t="str">
            <v>安全対策以上の対応</v>
          </cell>
        </row>
        <row r="324">
          <cell r="B324" t="str">
            <v>○</v>
          </cell>
        </row>
        <row r="325">
          <cell r="B325" t="str">
            <v>×</v>
          </cell>
        </row>
        <row r="329">
          <cell r="B329" t="str">
            <v>○</v>
          </cell>
        </row>
        <row r="330">
          <cell r="B330" t="str">
            <v>×</v>
          </cell>
        </row>
        <row r="422">
          <cell r="B422" t="str">
            <v>ICT土工</v>
          </cell>
        </row>
        <row r="423">
          <cell r="B423" t="str">
            <v>ICT舗装工</v>
          </cell>
        </row>
        <row r="424">
          <cell r="B424" t="str">
            <v>ICT河川浚渫</v>
          </cell>
        </row>
        <row r="425">
          <cell r="B425" t="str">
            <v>ICT作業土工（床掘）</v>
          </cell>
        </row>
        <row r="426">
          <cell r="B426" t="str">
            <v>ICT付帯構造物設置工</v>
          </cell>
        </row>
        <row r="427">
          <cell r="B427" t="str">
            <v>ICT法面工</v>
          </cell>
        </row>
        <row r="428">
          <cell r="B428" t="str">
            <v>ICT地盤改良工</v>
          </cell>
        </row>
        <row r="429">
          <cell r="B429" t="str">
            <v>その他</v>
          </cell>
        </row>
        <row r="432">
          <cell r="B432" t="str">
            <v>空中写真測量（無人航空機）</v>
          </cell>
        </row>
        <row r="433">
          <cell r="B433" t="str">
            <v>地上型レーザースキャナー</v>
          </cell>
        </row>
        <row r="434">
          <cell r="B434" t="str">
            <v>トータルステーション等光波方式</v>
          </cell>
        </row>
        <row r="435">
          <cell r="B435" t="str">
            <v>トータルステーション（ノンプリズム方式）</v>
          </cell>
        </row>
        <row r="436">
          <cell r="B436" t="str">
            <v>ＲＴＫ－ＧＮＳＳ</v>
          </cell>
        </row>
        <row r="437">
          <cell r="B437" t="str">
            <v>無人航空機搭載型レーザースキャナー</v>
          </cell>
        </row>
        <row r="438">
          <cell r="B438" t="str">
            <v>地上移動体搭載型レーザースキャナー</v>
          </cell>
        </row>
        <row r="439">
          <cell r="B439" t="str">
            <v>音響測探機器</v>
          </cell>
        </row>
        <row r="440">
          <cell r="B440" t="str">
            <v>その他の３次元計測技術</v>
          </cell>
        </row>
        <row r="443">
          <cell r="B443" t="str">
            <v>掘削(ICT)</v>
          </cell>
        </row>
        <row r="444">
          <cell r="B444" t="str">
            <v>路体(築堤)盛土(ICT)</v>
          </cell>
        </row>
        <row r="445">
          <cell r="B445" t="str">
            <v>路床盛土(ICT)</v>
          </cell>
        </row>
        <row r="446">
          <cell r="B446" t="str">
            <v>法面整形(ICT)</v>
          </cell>
        </row>
        <row r="447">
          <cell r="B447" t="str">
            <v>不陸整正(ICT)</v>
          </cell>
        </row>
        <row r="448">
          <cell r="B448" t="str">
            <v>下層路盤(車道・路肩部)(ICT)</v>
          </cell>
        </row>
        <row r="449">
          <cell r="B449" t="str">
            <v>上層路盤(車道・路肩部)(ICT)</v>
          </cell>
        </row>
        <row r="450">
          <cell r="B450" t="str">
            <v>浚渫船運転費(ICT)</v>
          </cell>
        </row>
        <row r="451">
          <cell r="B451" t="str">
            <v>安定処理(ICT)</v>
          </cell>
        </row>
        <row r="452">
          <cell r="B452" t="str">
            <v>中層混合処理(ICT)</v>
          </cell>
        </row>
        <row r="453">
          <cell r="B453" t="str">
            <v>その他</v>
          </cell>
        </row>
        <row r="456">
          <cell r="B456" t="str">
            <v>3D-MGバックホウ</v>
          </cell>
        </row>
        <row r="457">
          <cell r="B457" t="str">
            <v>3D-MCバックホウ</v>
          </cell>
        </row>
        <row r="458">
          <cell r="B458" t="str">
            <v>3D-MGブルドーザ</v>
          </cell>
        </row>
        <row r="459">
          <cell r="B459" t="str">
            <v>3D-MCブルドーザ</v>
          </cell>
        </row>
        <row r="460">
          <cell r="B460" t="str">
            <v>3D-MCモータグレーダ</v>
          </cell>
        </row>
        <row r="461">
          <cell r="B461" t="str">
            <v>その他</v>
          </cell>
        </row>
        <row r="464">
          <cell r="B464" t="str">
            <v>音響測探機器</v>
          </cell>
        </row>
        <row r="465">
          <cell r="B465" t="str">
            <v>施工履歴データ</v>
          </cell>
        </row>
        <row r="466">
          <cell r="B466" t="str">
            <v>その他の３次元計測技術</v>
          </cell>
        </row>
        <row r="469">
          <cell r="B469" t="str">
            <v>空中写真測量（無人航空機）</v>
          </cell>
        </row>
        <row r="470">
          <cell r="B470" t="str">
            <v>地上型レーザースキャナー</v>
          </cell>
        </row>
        <row r="471">
          <cell r="B471" t="str">
            <v>トータルステーション等光波方式</v>
          </cell>
        </row>
        <row r="472">
          <cell r="B472" t="str">
            <v>トータルステーション（ノンプリズム方式）</v>
          </cell>
        </row>
        <row r="473">
          <cell r="B473" t="str">
            <v>ＲＴＫ－ＧＮＳＳ</v>
          </cell>
        </row>
        <row r="474">
          <cell r="B474" t="str">
            <v>無人航空機搭載型レーザースキャナー</v>
          </cell>
        </row>
        <row r="475">
          <cell r="B475" t="str">
            <v>地上移動体搭載型レーザースキャナー</v>
          </cell>
        </row>
        <row r="476">
          <cell r="B476" t="str">
            <v>その他の３次元計測技術</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二次製品（LED照明）"/>
      <sheetName val="準備費"/>
      <sheetName val="積算方式"/>
      <sheetName val="ICT"/>
      <sheetName val="感染対策"/>
      <sheetName val="確認"/>
      <sheetName val="元請調査票データ"/>
      <sheetName val="チェック"/>
      <sheetName val="要確認一覧表"/>
      <sheetName val="修正履歴"/>
      <sheetName val="Table"/>
      <sheetName val="KKS"/>
      <sheetName val="基礎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A5" t="str">
            <v>一般土木工事</v>
          </cell>
        </row>
        <row r="6">
          <cell r="A6" t="str">
            <v>ｱｽﾌｧﾙﾄ舗装工事</v>
          </cell>
        </row>
        <row r="7">
          <cell r="A7" t="str">
            <v>鋼橋上部工事</v>
          </cell>
        </row>
        <row r="8">
          <cell r="A8" t="str">
            <v>造園工事</v>
          </cell>
        </row>
        <row r="9">
          <cell r="A9" t="str">
            <v>セメント・コンクリート舗装工事</v>
          </cell>
        </row>
        <row r="10">
          <cell r="A10" t="str">
            <v>ＰＣ工事</v>
          </cell>
        </row>
        <row r="11">
          <cell r="A11" t="str">
            <v>法面処理工事</v>
          </cell>
        </row>
        <row r="12">
          <cell r="A12" t="str">
            <v>塗装工事</v>
          </cell>
        </row>
        <row r="13">
          <cell r="A13" t="str">
            <v>維持修繕工事</v>
          </cell>
        </row>
        <row r="14">
          <cell r="A14" t="str">
            <v>河川しゅんせつ工事</v>
          </cell>
        </row>
        <row r="15">
          <cell r="A15" t="str">
            <v>グラウト工事</v>
          </cell>
        </row>
        <row r="16">
          <cell r="A16" t="str">
            <v>杭打工事</v>
          </cell>
        </row>
        <row r="17">
          <cell r="A17" t="str">
            <v>さく井工事</v>
          </cell>
        </row>
        <row r="18">
          <cell r="A18" t="str">
            <v>電気設備工事</v>
          </cell>
        </row>
        <row r="19">
          <cell r="A19" t="str">
            <v>通信設備工事</v>
          </cell>
        </row>
        <row r="20">
          <cell r="A20" t="str">
            <v>受変電設備工事</v>
          </cell>
        </row>
        <row r="21">
          <cell r="A21" t="str">
            <v>暖冷房衛生設備工事</v>
          </cell>
        </row>
        <row r="22">
          <cell r="A22" t="str">
            <v>機械設備工事</v>
          </cell>
        </row>
        <row r="23">
          <cell r="A23" t="str">
            <v>建築工事</v>
          </cell>
        </row>
        <row r="24">
          <cell r="A24" t="str">
            <v>木造建築工事</v>
          </cell>
        </row>
        <row r="25">
          <cell r="A25" t="str">
            <v>プレハブ建築工事</v>
          </cell>
        </row>
        <row r="26">
          <cell r="A26" t="str">
            <v>港湾土木工事</v>
          </cell>
        </row>
        <row r="27">
          <cell r="A27" t="str">
            <v>農林土木工事</v>
          </cell>
        </row>
        <row r="28">
          <cell r="A28" t="str">
            <v>農林建築工事</v>
          </cell>
        </row>
        <row r="29">
          <cell r="A29" t="str">
            <v>その他</v>
          </cell>
        </row>
        <row r="33">
          <cell r="A33" t="str">
            <v>Ⅰ</v>
          </cell>
        </row>
        <row r="34">
          <cell r="A34" t="str">
            <v>Ⅱ</v>
          </cell>
        </row>
        <row r="35">
          <cell r="A35" t="str">
            <v>Ⅲ</v>
          </cell>
        </row>
        <row r="36">
          <cell r="A36" t="str">
            <v>Ⅳ</v>
          </cell>
        </row>
        <row r="37">
          <cell r="A37" t="str">
            <v>Ⅴ</v>
          </cell>
        </row>
        <row r="38">
          <cell r="A38" t="str">
            <v>Ⅵ</v>
          </cell>
        </row>
        <row r="39">
          <cell r="A39" t="str">
            <v>その他</v>
          </cell>
        </row>
        <row r="43">
          <cell r="A43" t="str">
            <v>一般競争入札（政府調達協定対象金額以上）</v>
          </cell>
        </row>
        <row r="44">
          <cell r="A44" t="str">
            <v>一般競争入札（政府調達協定対象金額未満）</v>
          </cell>
        </row>
        <row r="45">
          <cell r="A45" t="str">
            <v xml:space="preserve">工事希望型競争入札 </v>
          </cell>
        </row>
        <row r="46">
          <cell r="A46" t="str">
            <v xml:space="preserve">指名競争入札 </v>
          </cell>
        </row>
        <row r="47">
          <cell r="A47" t="str">
            <v>随意契約</v>
          </cell>
        </row>
        <row r="48">
          <cell r="A48" t="str">
            <v>その他</v>
          </cell>
        </row>
        <row r="52">
          <cell r="A52" t="str">
            <v>5％以下</v>
          </cell>
        </row>
        <row r="53">
          <cell r="A53" t="str">
            <v>5％を超え15％以下</v>
          </cell>
        </row>
        <row r="54">
          <cell r="A54" t="str">
            <v>15％を超え25％以下</v>
          </cell>
        </row>
        <row r="55">
          <cell r="A55" t="str">
            <v>25％を超え35％以下</v>
          </cell>
        </row>
        <row r="56">
          <cell r="A56" t="str">
            <v>35％を超えるもの</v>
          </cell>
        </row>
        <row r="60">
          <cell r="A60" t="str">
            <v>総合評価　標準Ⅰ型</v>
          </cell>
        </row>
        <row r="61">
          <cell r="A61" t="str">
            <v>総合評価　標準Ⅱ型</v>
          </cell>
        </row>
        <row r="62">
          <cell r="A62" t="str">
            <v>総合評価　簡易型</v>
          </cell>
        </row>
        <row r="63">
          <cell r="A63" t="str">
            <v>総合評価　技術提案評価型Ｓ型（WTO以外）</v>
          </cell>
        </row>
        <row r="64">
          <cell r="A64" t="str">
            <v>総合評価　技術提案評価型Ｓ型（WTO）</v>
          </cell>
        </row>
        <row r="65">
          <cell r="A65" t="str">
            <v>総合評価　技術提案評価型Ａ型</v>
          </cell>
        </row>
        <row r="66">
          <cell r="A66" t="str">
            <v>総合評価　施工能力評価型Ⅰ型</v>
          </cell>
        </row>
        <row r="67">
          <cell r="A67" t="str">
            <v>総合評価　施工能力評価型Ⅱ型</v>
          </cell>
        </row>
        <row r="68">
          <cell r="A68" t="str">
            <v>総合評価　施工能力評価型Ⅰ型（同時提出型）</v>
          </cell>
        </row>
        <row r="69">
          <cell r="A69" t="str">
            <v>総合評価　施工能力評価型Ⅱ型（同時提出型）</v>
          </cell>
        </row>
        <row r="70">
          <cell r="A70" t="str">
            <v>その他（価格評価等）</v>
          </cell>
        </row>
        <row r="74">
          <cell r="B74" t="str">
            <v>101：東北地方整備局</v>
          </cell>
        </row>
        <row r="75">
          <cell r="B75" t="str">
            <v>102：関東地方整備局</v>
          </cell>
        </row>
        <row r="76">
          <cell r="B76" t="str">
            <v>103：北陸地方整備局</v>
          </cell>
        </row>
        <row r="77">
          <cell r="B77" t="str">
            <v>104：中部地方整備局</v>
          </cell>
        </row>
        <row r="78">
          <cell r="B78" t="str">
            <v>105：近畿地方整備局</v>
          </cell>
        </row>
        <row r="79">
          <cell r="B79" t="str">
            <v>106：中国地方整備局</v>
          </cell>
        </row>
        <row r="80">
          <cell r="B80" t="str">
            <v>107：四国地方整備局</v>
          </cell>
        </row>
        <row r="81">
          <cell r="B81" t="str">
            <v>108：九州地方整備局</v>
          </cell>
        </row>
        <row r="82">
          <cell r="B82" t="str">
            <v>109：北海道開発局</v>
          </cell>
        </row>
        <row r="83">
          <cell r="B83" t="str">
            <v>110：沖縄総合事務局</v>
          </cell>
        </row>
        <row r="84">
          <cell r="B84" t="str">
            <v>999：その他</v>
          </cell>
        </row>
        <row r="165">
          <cell r="A165" t="str">
            <v>有り</v>
          </cell>
        </row>
        <row r="166">
          <cell r="A166" t="str">
            <v>無し</v>
          </cell>
        </row>
        <row r="170">
          <cell r="A170" t="str">
            <v>単品スライド</v>
          </cell>
        </row>
        <row r="171">
          <cell r="A171" t="str">
            <v>単品スライド・全体スライド併用</v>
          </cell>
        </row>
        <row r="172">
          <cell r="A172" t="str">
            <v>単品スライド・インフレスライド併用</v>
          </cell>
        </row>
        <row r="173">
          <cell r="A173" t="str">
            <v>全体スライド</v>
          </cell>
        </row>
        <row r="174">
          <cell r="A174" t="str">
            <v>インフレスライド</v>
          </cell>
        </row>
        <row r="178">
          <cell r="A178" t="str">
            <v>総価契約単価合意方式【個別】</v>
          </cell>
        </row>
        <row r="179">
          <cell r="A179" t="str">
            <v>総価契約単価合意方式【包括】</v>
          </cell>
        </row>
        <row r="195">
          <cell r="A195" t="str">
            <v>012：河川工事</v>
          </cell>
        </row>
        <row r="196">
          <cell r="A196" t="str">
            <v>013：河川工事</v>
          </cell>
        </row>
        <row r="197">
          <cell r="A197" t="str">
            <v>023：河川・道路構造物工事</v>
          </cell>
        </row>
        <row r="198">
          <cell r="A198" t="str">
            <v>024：河川・道路構造物工事</v>
          </cell>
        </row>
        <row r="199">
          <cell r="A199" t="str">
            <v>025：河川・道路構造物工事</v>
          </cell>
        </row>
        <row r="200">
          <cell r="A200" t="str">
            <v>026：河川・道路構造物工事</v>
          </cell>
        </row>
        <row r="201">
          <cell r="A201" t="str">
            <v>027：河川・道路構造物工事</v>
          </cell>
        </row>
        <row r="202">
          <cell r="A202" t="str">
            <v>032：海岸工事</v>
          </cell>
        </row>
        <row r="203">
          <cell r="A203" t="str">
            <v>033：海岸工事</v>
          </cell>
        </row>
        <row r="204">
          <cell r="A204" t="str">
            <v>042：道路改良工事</v>
          </cell>
        </row>
        <row r="205">
          <cell r="A205" t="str">
            <v>043：道路改良工事</v>
          </cell>
        </row>
        <row r="206">
          <cell r="A206" t="str">
            <v>083：鋼橋架設工事</v>
          </cell>
        </row>
        <row r="207">
          <cell r="A207" t="str">
            <v>085：鋼橋架設工事</v>
          </cell>
        </row>
        <row r="208">
          <cell r="A208" t="str">
            <v>082：鋼橋架設工事</v>
          </cell>
        </row>
        <row r="209">
          <cell r="A209" t="str">
            <v>086：鋼橋架設工事</v>
          </cell>
        </row>
        <row r="210">
          <cell r="A210" t="str">
            <v>051：ＰＣ橋工事</v>
          </cell>
        </row>
        <row r="211">
          <cell r="A211" t="str">
            <v>052：ＰＣ橋工事</v>
          </cell>
        </row>
        <row r="212">
          <cell r="A212" t="str">
            <v>055：橋梁保全工事</v>
          </cell>
        </row>
        <row r="213">
          <cell r="A213" t="str">
            <v>062：舗装工事（新設）</v>
          </cell>
        </row>
        <row r="214">
          <cell r="A214" t="str">
            <v>063：舗装工事（修繕工事）</v>
          </cell>
        </row>
        <row r="215">
          <cell r="A215" t="str">
            <v>101：共同溝等工事（１）</v>
          </cell>
        </row>
        <row r="216">
          <cell r="A216" t="str">
            <v>102：共同溝等工事（２）</v>
          </cell>
        </row>
        <row r="217">
          <cell r="A217" t="str">
            <v>111：トンネル工事</v>
          </cell>
        </row>
        <row r="218">
          <cell r="A218" t="str">
            <v>112：トンネル工事</v>
          </cell>
        </row>
        <row r="219">
          <cell r="A219" t="str">
            <v>071：砂防・地すべり等工事</v>
          </cell>
        </row>
        <row r="220">
          <cell r="A220" t="str">
            <v>072：砂防・地すべり等工事</v>
          </cell>
        </row>
        <row r="221">
          <cell r="A221" t="str">
            <v>073：砂防・地すべり等工事</v>
          </cell>
        </row>
        <row r="222">
          <cell r="A222" t="str">
            <v>131：道路維持工事</v>
          </cell>
        </row>
        <row r="223">
          <cell r="A223" t="str">
            <v>132：道路維持工事</v>
          </cell>
        </row>
        <row r="224">
          <cell r="A224" t="str">
            <v>133：道路維持工事</v>
          </cell>
        </row>
        <row r="225">
          <cell r="A225" t="str">
            <v>134：道路維持工事</v>
          </cell>
        </row>
        <row r="226">
          <cell r="A226" t="str">
            <v>135：道路維持工事</v>
          </cell>
        </row>
        <row r="227">
          <cell r="A227" t="str">
            <v>191：電気通信設備工事(道路維持工事)</v>
          </cell>
        </row>
        <row r="228">
          <cell r="A228" t="str">
            <v>141：河川維持工事</v>
          </cell>
        </row>
        <row r="229">
          <cell r="A229" t="str">
            <v>142：河川維持工事</v>
          </cell>
        </row>
        <row r="230">
          <cell r="A230" t="str">
            <v>143：河川維持工事</v>
          </cell>
        </row>
        <row r="231">
          <cell r="A231" t="str">
            <v>144：河川維持工事</v>
          </cell>
        </row>
        <row r="232">
          <cell r="A232" t="str">
            <v>145：河川維持工事</v>
          </cell>
        </row>
        <row r="233">
          <cell r="A233" t="str">
            <v>146：河川維持工事</v>
          </cell>
        </row>
        <row r="234">
          <cell r="A234" t="str">
            <v>192：電気通信設備工事(河川維持工事)</v>
          </cell>
        </row>
        <row r="235">
          <cell r="A235" t="str">
            <v>091：公園工事</v>
          </cell>
        </row>
        <row r="236">
          <cell r="A236" t="str">
            <v>151：コンクリートダム工事(建)</v>
          </cell>
        </row>
        <row r="237">
          <cell r="A237" t="str">
            <v>161：フィルダム工事(建)</v>
          </cell>
        </row>
        <row r="238">
          <cell r="A238" t="str">
            <v>171：電線共同溝工事</v>
          </cell>
        </row>
        <row r="239">
          <cell r="A239" t="str">
            <v>181：情報ボックス工事</v>
          </cell>
        </row>
        <row r="240">
          <cell r="A240" t="str">
            <v>198：光ケーブル工事(道路維持工事)</v>
          </cell>
        </row>
        <row r="241">
          <cell r="A241" t="str">
            <v>199：光ケーブル工事(河川維持工事)</v>
          </cell>
        </row>
        <row r="242">
          <cell r="A242" t="str">
            <v>121：下水道工事（１）</v>
          </cell>
        </row>
        <row r="243">
          <cell r="A243" t="str">
            <v>601：下水道工事（２）「函渠、管渠等（開削）」　</v>
          </cell>
        </row>
        <row r="244">
          <cell r="A244" t="str">
            <v>602：下水道工事（２）「側溝、水路等」　</v>
          </cell>
        </row>
        <row r="245">
          <cell r="A245" t="str">
            <v>603：下水道工事（２）「推進（口径≦500mm）」</v>
          </cell>
        </row>
        <row r="246">
          <cell r="A246" t="str">
            <v>604：下水道工事（２）「推進（500mm&lt;口径&lt;800mm）」</v>
          </cell>
        </row>
        <row r="247">
          <cell r="A247" t="str">
            <v>123：下水道工事（３）</v>
          </cell>
        </row>
        <row r="248">
          <cell r="A248" t="str">
            <v>611：下水道工事（４）管更生「製管工法（機械製管）」</v>
          </cell>
        </row>
        <row r="249">
          <cell r="A249" t="str">
            <v>612：下水道工事（４）管更生「製管工法（人力製管）」</v>
          </cell>
        </row>
        <row r="250">
          <cell r="A250" t="str">
            <v>613：下水道工事（４）管更生「反転工法」</v>
          </cell>
        </row>
        <row r="251">
          <cell r="A251" t="str">
            <v>614：下水道工事（４）管更生「形成工法」</v>
          </cell>
        </row>
        <row r="252">
          <cell r="A252" t="str">
            <v>615：下水道工事（４）管更生「その他工法」</v>
          </cell>
        </row>
        <row r="256">
          <cell r="A256" t="str">
            <v>1：一般道路</v>
          </cell>
        </row>
        <row r="257">
          <cell r="A257" t="str">
            <v>2：自動車専用道路</v>
          </cell>
        </row>
        <row r="258">
          <cell r="A258" t="str">
            <v>3：一般道路且つ鉄道等に近接又は交差する場所</v>
          </cell>
        </row>
        <row r="259">
          <cell r="A259" t="str">
            <v>4：自動車専用道路且つ鉄道等に近接又は交差する場所</v>
          </cell>
        </row>
        <row r="260">
          <cell r="A260" t="str">
            <v>5：上記以外の場所</v>
          </cell>
        </row>
        <row r="400">
          <cell r="A400" t="str">
            <v>令和2年度</v>
          </cell>
          <cell r="B400" t="str">
            <v>令和元年度</v>
          </cell>
          <cell r="C400" t="str">
            <v>平成31年度</v>
          </cell>
          <cell r="D400" t="str">
            <v>平成30年度</v>
          </cell>
          <cell r="E400" t="str">
            <v>平成29年度</v>
          </cell>
          <cell r="F400" t="str">
            <v>平成28年度以前</v>
          </cell>
        </row>
        <row r="402">
          <cell r="D402" t="str">
            <v>1：大都市（1）（×2.0）</v>
          </cell>
          <cell r="E402" t="str">
            <v>1：大都市（1）（×2.0）</v>
          </cell>
          <cell r="F402" t="str">
            <v>1：市街地（2.0%）</v>
          </cell>
        </row>
        <row r="403">
          <cell r="D403" t="str">
            <v>2：大都市（2）（×1.5）</v>
          </cell>
          <cell r="E403" t="str">
            <v>2：大都市（2）（×1.5）</v>
          </cell>
          <cell r="F403" t="str">
            <v>2：山間僻地及び離島（1.0%）</v>
          </cell>
        </row>
        <row r="404">
          <cell r="D404" t="str">
            <v>3：市街地（DID補正）（1）（×1.3）</v>
          </cell>
          <cell r="E404" t="str">
            <v>3：市街地（DID補正）（1）（×1.3）</v>
          </cell>
          <cell r="F404" t="str">
            <v>3：地方部（一般交通等の影響を受ける場合）（1.5%）</v>
          </cell>
        </row>
        <row r="405">
          <cell r="D405" t="str">
            <v>4：一般交通影響有り（1）（×1.3）</v>
          </cell>
          <cell r="E405" t="str">
            <v>4：一般交通影響有り（1）（×1.3）</v>
          </cell>
          <cell r="F405" t="str">
            <v>4：大都市（1）（×2.0）</v>
          </cell>
        </row>
        <row r="406">
          <cell r="D406" t="str">
            <v>5：一般交通影響有り（2）（×1.2）</v>
          </cell>
          <cell r="E406" t="str">
            <v>5：一般交通影響有り（2）（×1.2）</v>
          </cell>
          <cell r="F406" t="str">
            <v>5：大都市（2）（×1.5）</v>
          </cell>
        </row>
        <row r="407">
          <cell r="D407" t="str">
            <v>6：市街地（DID補正）（2）（×1.2）</v>
          </cell>
          <cell r="E407" t="str">
            <v>6：市街地（DID補正）（2）（×1.2）</v>
          </cell>
          <cell r="F407" t="str">
            <v>6：市街地（×1.3）</v>
          </cell>
        </row>
        <row r="408">
          <cell r="D408" t="str">
            <v>7：山間僻地及び離島（×1.3）</v>
          </cell>
          <cell r="E408" t="str">
            <v>7：山間僻地及び離島（×1.3）</v>
          </cell>
          <cell r="F408" t="str">
            <v>7：補正無し</v>
          </cell>
        </row>
        <row r="409">
          <cell r="D409" t="str">
            <v>8：補正無し</v>
          </cell>
          <cell r="E409" t="str">
            <v>8：補正無し</v>
          </cell>
        </row>
        <row r="507">
          <cell r="A507" t="str">
            <v>山間僻地</v>
          </cell>
        </row>
        <row r="508">
          <cell r="A508" t="str">
            <v>離島</v>
          </cell>
        </row>
        <row r="512">
          <cell r="A512" t="str">
            <v>1：補正有り(×1.5)</v>
          </cell>
        </row>
        <row r="513">
          <cell r="A513" t="str">
            <v>2：補正無し</v>
          </cell>
        </row>
        <row r="522">
          <cell r="A522" t="str">
            <v>1：補正有り（×1.02）※H29設定　4週8休以上</v>
          </cell>
        </row>
        <row r="523">
          <cell r="A523" t="str">
            <v>2：補正有り（×1.01）※H30設定　4週6休</v>
          </cell>
        </row>
        <row r="524">
          <cell r="A524" t="str">
            <v>3：補正有り（×1.03）※H30設定　4週7休</v>
          </cell>
        </row>
        <row r="525">
          <cell r="A525" t="str">
            <v>4：補正有り（×1.04）※H30設定　4週8休以上</v>
          </cell>
        </row>
        <row r="526">
          <cell r="A526" t="str">
            <v>5：補正無し</v>
          </cell>
        </row>
        <row r="530">
          <cell r="A530" t="str">
            <v>1：補正有り</v>
          </cell>
        </row>
        <row r="531">
          <cell r="A531" t="str">
            <v>2：補正無し</v>
          </cell>
        </row>
        <row r="536">
          <cell r="A536" t="str">
            <v>1：補正有り(×1.1)</v>
          </cell>
        </row>
        <row r="537">
          <cell r="A537" t="str">
            <v>2：補正有り(×1.4)</v>
          </cell>
        </row>
        <row r="538">
          <cell r="A538" t="str">
            <v>3：補正無し</v>
          </cell>
        </row>
        <row r="542">
          <cell r="A542" t="str">
            <v>1：補正有り(×1.1)</v>
          </cell>
        </row>
        <row r="543">
          <cell r="A543" t="str">
            <v>2：補正無し</v>
          </cell>
        </row>
        <row r="547">
          <cell r="A547" t="str">
            <v>1：補正有り(×1.2)</v>
          </cell>
        </row>
        <row r="548">
          <cell r="A548" t="str">
            <v>2：補正無し</v>
          </cell>
        </row>
        <row r="559">
          <cell r="A559" t="str">
            <v>1：係数「0.95」・宿舎のみ使用</v>
          </cell>
        </row>
        <row r="560">
          <cell r="A560" t="str">
            <v>2：係数「0.95」・事務所のみ使用</v>
          </cell>
        </row>
        <row r="561">
          <cell r="A561" t="str">
            <v>3：係数「0.95」・倉庫のみ使用</v>
          </cell>
        </row>
        <row r="562">
          <cell r="A562" t="str">
            <v>4：係数「0.90」・宿舎と事務所を使用</v>
          </cell>
        </row>
        <row r="563">
          <cell r="A563" t="str">
            <v>5：係数「0.90」・宿舎と倉庫を使用</v>
          </cell>
        </row>
        <row r="564">
          <cell r="A564" t="str">
            <v>6：係数「0.90」・事務所と倉庫を使用</v>
          </cell>
        </row>
        <row r="565">
          <cell r="A565" t="str">
            <v>7：係数「0.85」・宿舎、事務所、倉庫を使用</v>
          </cell>
        </row>
        <row r="569">
          <cell r="A569" t="str">
            <v>1：補正有り</v>
          </cell>
        </row>
        <row r="570">
          <cell r="A570" t="str">
            <v>2：補正無し</v>
          </cell>
        </row>
        <row r="581">
          <cell r="A581" t="str">
            <v>○</v>
          </cell>
        </row>
        <row r="588">
          <cell r="A588" t="str">
            <v>機器の製作及び据付け工事</v>
          </cell>
        </row>
        <row r="589">
          <cell r="A589" t="str">
            <v>機器の支給品がある工事</v>
          </cell>
        </row>
        <row r="590">
          <cell r="A590" t="str">
            <v>機器の製作のみの工事</v>
          </cell>
        </row>
        <row r="591">
          <cell r="A591" t="str">
            <v>上記が複合した工事</v>
          </cell>
        </row>
        <row r="592">
          <cell r="A592" t="str">
            <v>機器単体費の計上無し(機器の支給品がある工事は除く)</v>
          </cell>
        </row>
        <row r="596">
          <cell r="A596">
            <v>1</v>
          </cell>
        </row>
        <row r="597">
          <cell r="A597">
            <v>2</v>
          </cell>
        </row>
        <row r="598">
          <cell r="A598">
            <v>5</v>
          </cell>
        </row>
        <row r="599">
          <cell r="A599">
            <v>7</v>
          </cell>
        </row>
        <row r="600">
          <cell r="A600">
            <v>8</v>
          </cell>
        </row>
        <row r="601">
          <cell r="A601">
            <v>9</v>
          </cell>
        </row>
        <row r="602">
          <cell r="A602" t="str">
            <v>Ｔ</v>
          </cell>
        </row>
        <row r="606">
          <cell r="A606" t="str">
            <v>有り</v>
          </cell>
        </row>
        <row r="607">
          <cell r="A607" t="str">
            <v>無し</v>
          </cell>
        </row>
        <row r="613">
          <cell r="A613" t="str">
            <v>Yes</v>
          </cell>
        </row>
        <row r="614">
          <cell r="A614" t="str">
            <v>No</v>
          </cell>
        </row>
        <row r="618">
          <cell r="A618" t="str">
            <v>発注者指定方式</v>
          </cell>
        </row>
        <row r="619">
          <cell r="A619" t="str">
            <v>任意着手方式</v>
          </cell>
        </row>
        <row r="620">
          <cell r="A620" t="str">
            <v>フレックス方式</v>
          </cell>
        </row>
        <row r="624">
          <cell r="A624" t="str">
            <v>降雨</v>
          </cell>
        </row>
        <row r="625">
          <cell r="A625" t="str">
            <v>降雪</v>
          </cell>
        </row>
        <row r="626">
          <cell r="A626" t="str">
            <v>風</v>
          </cell>
        </row>
        <row r="627">
          <cell r="A627" t="str">
            <v>波浪</v>
          </cell>
        </row>
        <row r="628">
          <cell r="A628" t="str">
            <v>その他</v>
          </cell>
        </row>
        <row r="634">
          <cell r="A634" t="str">
            <v>有</v>
          </cell>
        </row>
        <row r="635">
          <cell r="A635" t="str">
            <v>無</v>
          </cell>
        </row>
        <row r="639">
          <cell r="A639" t="str">
            <v>昼間施工</v>
          </cell>
        </row>
        <row r="640">
          <cell r="A640" t="str">
            <v>夜間施工</v>
          </cell>
        </row>
        <row r="641">
          <cell r="A641" t="str">
            <v>昼夜間施工</v>
          </cell>
        </row>
        <row r="645">
          <cell r="A645" t="str">
            <v>路上</v>
          </cell>
        </row>
        <row r="646">
          <cell r="A646" t="str">
            <v>その他</v>
          </cell>
        </row>
        <row r="650">
          <cell r="A650" t="str">
            <v>日々運搬回送</v>
          </cell>
        </row>
        <row r="651">
          <cell r="A651" t="str">
            <v>保管場所あり</v>
          </cell>
        </row>
        <row r="660">
          <cell r="A660" t="str">
            <v>市街地</v>
          </cell>
        </row>
        <row r="661">
          <cell r="A661" t="str">
            <v>山間僻地及び離島</v>
          </cell>
        </row>
        <row r="662">
          <cell r="A662" t="str">
            <v>地方部（施工場所が一般交通等の影響を受ける地区）</v>
          </cell>
        </row>
        <row r="663">
          <cell r="A663" t="str">
            <v>地方部（施工場所が一般交通等の影響を受けない地区）</v>
          </cell>
        </row>
        <row r="664">
          <cell r="A664" t="str">
            <v>大都市（１）</v>
          </cell>
        </row>
        <row r="665">
          <cell r="A665" t="str">
            <v>大都市（２）</v>
          </cell>
        </row>
        <row r="671">
          <cell r="A671" t="str">
            <v>YES</v>
          </cell>
        </row>
        <row r="672">
          <cell r="A672" t="str">
            <v>NO</v>
          </cell>
        </row>
        <row r="676">
          <cell r="A676" t="str">
            <v>占用許可</v>
          </cell>
        </row>
        <row r="677">
          <cell r="A677" t="str">
            <v>使用許可</v>
          </cell>
        </row>
        <row r="678">
          <cell r="A678" t="str">
            <v>用地取得</v>
          </cell>
        </row>
        <row r="679">
          <cell r="A679" t="str">
            <v>地元説明</v>
          </cell>
        </row>
        <row r="680">
          <cell r="A680" t="str">
            <v>概算概略発注</v>
          </cell>
        </row>
        <row r="681">
          <cell r="A681" t="str">
            <v>その他</v>
          </cell>
        </row>
        <row r="685">
          <cell r="A685" t="str">
            <v>4時間/日未満</v>
          </cell>
        </row>
        <row r="686">
          <cell r="A686" t="str">
            <v>4時間/日以上～7時間/日以下</v>
          </cell>
        </row>
        <row r="687">
          <cell r="A687" t="str">
            <v>7時間を超え7.5時間/日以下</v>
          </cell>
        </row>
        <row r="688">
          <cell r="A688" t="str">
            <v>その他</v>
          </cell>
        </row>
        <row r="692">
          <cell r="A692" t="str">
            <v>全面通行止め（常時）</v>
          </cell>
        </row>
        <row r="693">
          <cell r="A693" t="str">
            <v>全面通行止め（一時）</v>
          </cell>
        </row>
        <row r="694">
          <cell r="A694" t="str">
            <v>片側交互通行規制</v>
          </cell>
        </row>
        <row r="695">
          <cell r="A695" t="str">
            <v>車線規制</v>
          </cell>
        </row>
        <row r="696">
          <cell r="A696" t="str">
            <v>路肩規制</v>
          </cell>
        </row>
        <row r="697">
          <cell r="A697" t="str">
            <v>歩道規制</v>
          </cell>
        </row>
        <row r="703">
          <cell r="A703" t="str">
            <v>鋼製スリット</v>
          </cell>
        </row>
        <row r="704">
          <cell r="A704" t="str">
            <v>プレキャストアーチカルバート（ﾓｼﾞｭﾗｰﾁ・ﾃｸﾉｽﾊﾟﾝ等の製品費）</v>
          </cell>
        </row>
        <row r="705">
          <cell r="A705" t="str">
            <v>プレキャストスノーシェッド（ｽﾉｰｼｪｯﾄﾞ部材の製品費）</v>
          </cell>
        </row>
        <row r="706">
          <cell r="A706" t="str">
            <v>ＰＣスノーシェルター（ｽﾉｰｼｪﾙﾀｰ部材の製品費）</v>
          </cell>
        </row>
        <row r="707">
          <cell r="A707" t="str">
            <v>ＰＣ床版</v>
          </cell>
        </row>
        <row r="708">
          <cell r="A708" t="str">
            <v>コンポ橋用のＰＣ板</v>
          </cell>
        </row>
        <row r="709">
          <cell r="A709" t="str">
            <v>プレキャストボックスカルバート（内空5m×5m以上：車道BOX相当）</v>
          </cell>
        </row>
        <row r="710">
          <cell r="A710" t="str">
            <v>プレキャストボックスカルバート（RCﾌﾟﾚｷｬｽﾄﾎﾞｯｸｽｶﾙﾊﾞｰﾄの規格を超えるもの）</v>
          </cell>
        </row>
        <row r="711">
          <cell r="A711" t="str">
            <v>大型分割プレキャストボックスカルバート
　全て（RCﾌﾟﾚｷｬｽﾄﾎﾞｯｸｽｶﾙﾊﾞｰﾄの規格を超えるもの）</v>
          </cell>
        </row>
        <row r="712">
          <cell r="A712" t="str">
            <v>検査路（鋼橋積算の製作品）</v>
          </cell>
        </row>
        <row r="713">
          <cell r="A713" t="str">
            <v>検査路（ＰＣ橋積算の製品（購入品））</v>
          </cell>
        </row>
        <row r="714">
          <cell r="A714" t="str">
            <v>排水装置（鋼橋積算の製作品）</v>
          </cell>
        </row>
        <row r="715">
          <cell r="A715" t="str">
            <v>排水装置（ＰＣ橋積算の製品（購入品））</v>
          </cell>
        </row>
        <row r="716">
          <cell r="A716" t="str">
            <v>ゴム支承（鋼橋積算の製作品）</v>
          </cell>
        </row>
        <row r="717">
          <cell r="A717" t="str">
            <v>ゴム支承（ＰＣ橋積算）</v>
          </cell>
        </row>
        <row r="718">
          <cell r="A718" t="str">
            <v>鋼製支承（鋼橋積算）</v>
          </cell>
        </row>
        <row r="719">
          <cell r="A719" t="str">
            <v>鋼製支承（ＰＣ橋積算）</v>
          </cell>
        </row>
        <row r="720">
          <cell r="A720" t="str">
            <v>ジョイント（鋼橋積算の製作品）</v>
          </cell>
        </row>
        <row r="721">
          <cell r="A721" t="str">
            <v>ジョイント（ＰＣ橋積算の製品（購入品））</v>
          </cell>
        </row>
        <row r="722">
          <cell r="A722" t="str">
            <v>高欄（鋼橋積算の製作品）</v>
          </cell>
        </row>
        <row r="723">
          <cell r="A723" t="str">
            <v>高欄（ＰＣ橋積算の製品（購入品））</v>
          </cell>
        </row>
        <row r="724">
          <cell r="A724" t="str">
            <v>門扉等の「等」にあたるもの（品目欄の右に具体名を入力してください。）</v>
          </cell>
        </row>
        <row r="725">
          <cell r="A725" t="str">
            <v>合成床版</v>
          </cell>
        </row>
        <row r="726">
          <cell r="A726" t="str">
            <v>鋼製橋脚アンカーフレーム用アンカーボルト</v>
          </cell>
        </row>
        <row r="727">
          <cell r="A727" t="str">
            <v>遮音壁（工場で製作し、現地で設置した場合）</v>
          </cell>
        </row>
        <row r="728">
          <cell r="A728" t="str">
            <v>モニュメント（工場で製作し、現地で設置した場合）</v>
          </cell>
        </row>
        <row r="729">
          <cell r="A729" t="str">
            <v>デザイン高欄（工場で製作し、現地で設置した場合）</v>
          </cell>
        </row>
        <row r="730">
          <cell r="A730" t="str">
            <v>デザイン照明ポール（工場で製作し、現地で設置した場合）</v>
          </cell>
        </row>
        <row r="731">
          <cell r="A731" t="str">
            <v>セグメント桁</v>
          </cell>
        </row>
        <row r="732">
          <cell r="A732" t="str">
            <v>防雪柵（吹払防止）</v>
          </cell>
        </row>
        <row r="733">
          <cell r="A733" t="str">
            <v>その他（上記リスト以外は、品目欄の右に具体名を入力してください。）</v>
          </cell>
        </row>
        <row r="737">
          <cell r="A737" t="str">
            <v>不明</v>
          </cell>
        </row>
        <row r="743">
          <cell r="A743" t="str">
            <v>行った</v>
          </cell>
        </row>
        <row r="744">
          <cell r="A744" t="str">
            <v>行わない</v>
          </cell>
        </row>
        <row r="748">
          <cell r="A748" t="str">
            <v>○</v>
          </cell>
        </row>
        <row r="749">
          <cell r="A749" t="str">
            <v>×</v>
          </cell>
        </row>
        <row r="755">
          <cell r="A755" t="str">
            <v>発注者指定型</v>
          </cell>
        </row>
        <row r="756">
          <cell r="A756" t="str">
            <v>施工者希望Ⅰ型</v>
          </cell>
        </row>
        <row r="757">
          <cell r="A757" t="str">
            <v>施工者希望Ⅱ型</v>
          </cell>
        </row>
        <row r="758">
          <cell r="A758" t="str">
            <v>その他</v>
          </cell>
        </row>
        <row r="762">
          <cell r="A762" t="str">
            <v>ICT土工</v>
          </cell>
        </row>
        <row r="763">
          <cell r="A763" t="str">
            <v>ICT舗装工</v>
          </cell>
        </row>
        <row r="764">
          <cell r="A764" t="str">
            <v>ICT浚渫工（河川）</v>
          </cell>
        </row>
        <row r="765">
          <cell r="A765" t="str">
            <v>ICT地盤改良工（浅層・中層混合処理）</v>
          </cell>
        </row>
        <row r="766">
          <cell r="A766" t="str">
            <v>ICT法面工（吹付工）</v>
          </cell>
        </row>
        <row r="767">
          <cell r="A767" t="str">
            <v>ICT付帯構造物設置工</v>
          </cell>
        </row>
        <row r="768">
          <cell r="A768" t="str">
            <v>ICT地盤改良工（深層）</v>
          </cell>
        </row>
        <row r="769">
          <cell r="A769" t="str">
            <v>ICT法面工（吹付法枠工）</v>
          </cell>
        </row>
        <row r="770">
          <cell r="A770" t="str">
            <v>ICT舗装工（修繕工）</v>
          </cell>
        </row>
        <row r="771">
          <cell r="A771" t="str">
            <v>その他</v>
          </cell>
        </row>
        <row r="847">
          <cell r="A847" t="str">
            <v>令和3</v>
          </cell>
        </row>
        <row r="848">
          <cell r="A848" t="str">
            <v>令和2</v>
          </cell>
        </row>
        <row r="849">
          <cell r="A849" t="str">
            <v>令和元</v>
          </cell>
        </row>
        <row r="850">
          <cell r="A850" t="str">
            <v>平成31</v>
          </cell>
        </row>
        <row r="851">
          <cell r="A851" t="str">
            <v>平成30</v>
          </cell>
        </row>
        <row r="852">
          <cell r="A852" t="str">
            <v>平成29</v>
          </cell>
        </row>
        <row r="853">
          <cell r="A853" t="str">
            <v>平成28</v>
          </cell>
        </row>
        <row r="854">
          <cell r="A854" t="str">
            <v>平成27</v>
          </cell>
        </row>
        <row r="855">
          <cell r="A855" t="str">
            <v>平成26</v>
          </cell>
        </row>
        <row r="856">
          <cell r="A856" t="str">
            <v>平成25</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環境"/>
      <sheetName val="二次製品（港湾）"/>
      <sheetName val="準備費"/>
      <sheetName val="確認"/>
      <sheetName val="チェック"/>
      <sheetName val="要確認一覧表"/>
      <sheetName val="KKS"/>
      <sheetName val="Table"/>
      <sheetName val="基礎データ"/>
    </sheetNames>
    <sheetDataSet>
      <sheetData sheetId="0"/>
      <sheetData sheetId="1"/>
      <sheetData sheetId="2"/>
      <sheetData sheetId="3">
        <row r="24">
          <cell r="J24">
            <v>0</v>
          </cell>
        </row>
        <row r="25">
          <cell r="J25">
            <v>0</v>
          </cell>
        </row>
        <row r="26">
          <cell r="J26">
            <v>0</v>
          </cell>
        </row>
        <row r="28">
          <cell r="J28">
            <v>0</v>
          </cell>
        </row>
        <row r="50">
          <cell r="J50">
            <v>0</v>
          </cell>
        </row>
        <row r="59">
          <cell r="J59">
            <v>0</v>
          </cell>
        </row>
        <row r="62">
          <cell r="J62">
            <v>0</v>
          </cell>
        </row>
        <row r="76">
          <cell r="J76" t="str">
            <v>金　額（千円）</v>
          </cell>
        </row>
        <row r="85">
          <cell r="J85">
            <v>0</v>
          </cell>
        </row>
      </sheetData>
      <sheetData sheetId="4"/>
      <sheetData sheetId="5"/>
      <sheetData sheetId="6"/>
      <sheetData sheetId="7"/>
      <sheetData sheetId="8"/>
      <sheetData sheetId="9"/>
      <sheetData sheetId="10"/>
      <sheetData sheetId="11"/>
      <sheetData sheetId="12">
        <row r="5">
          <cell r="A5" t="str">
            <v>一般土木</v>
          </cell>
        </row>
        <row r="6">
          <cell r="A6" t="str">
            <v>ｱｽﾌｧﾙﾄ舗装</v>
          </cell>
        </row>
        <row r="7">
          <cell r="A7" t="str">
            <v>鋼橋上部</v>
          </cell>
        </row>
        <row r="8">
          <cell r="A8" t="str">
            <v>造園</v>
          </cell>
        </row>
        <row r="9">
          <cell r="A9" t="str">
            <v>セメント・コンクリート舗装</v>
          </cell>
        </row>
        <row r="10">
          <cell r="A10" t="str">
            <v>ＰＣ</v>
          </cell>
        </row>
        <row r="11">
          <cell r="A11" t="str">
            <v>法面処理</v>
          </cell>
        </row>
        <row r="12">
          <cell r="A12" t="str">
            <v>塗装</v>
          </cell>
        </row>
        <row r="13">
          <cell r="A13" t="str">
            <v>維持修繕</v>
          </cell>
        </row>
        <row r="14">
          <cell r="A14" t="str">
            <v>しゅんせつ</v>
          </cell>
        </row>
        <row r="15">
          <cell r="A15" t="str">
            <v>グラウト</v>
          </cell>
        </row>
        <row r="16">
          <cell r="A16" t="str">
            <v>杭打</v>
          </cell>
        </row>
        <row r="17">
          <cell r="A17" t="str">
            <v>さく井</v>
          </cell>
        </row>
        <row r="18">
          <cell r="A18" t="str">
            <v>電気設備</v>
          </cell>
        </row>
        <row r="19">
          <cell r="A19" t="str">
            <v>通信設備</v>
          </cell>
        </row>
        <row r="20">
          <cell r="A20" t="str">
            <v>受変電設備</v>
          </cell>
        </row>
        <row r="21">
          <cell r="A21" t="str">
            <v>暖冷房衛生設備</v>
          </cell>
        </row>
        <row r="22">
          <cell r="A22" t="str">
            <v>機械設備</v>
          </cell>
        </row>
        <row r="23">
          <cell r="A23" t="str">
            <v>建築</v>
          </cell>
        </row>
        <row r="24">
          <cell r="A24" t="str">
            <v>木造建築</v>
          </cell>
        </row>
        <row r="25">
          <cell r="A25" t="str">
            <v>プレハブ建築</v>
          </cell>
        </row>
        <row r="26">
          <cell r="A26" t="str">
            <v>港湾土木工事</v>
          </cell>
        </row>
        <row r="27">
          <cell r="A27" t="str">
            <v>農林土木工事</v>
          </cell>
        </row>
        <row r="28">
          <cell r="A28" t="str">
            <v>農林建築工事</v>
          </cell>
        </row>
        <row r="29">
          <cell r="A29" t="str">
            <v>その他</v>
          </cell>
        </row>
        <row r="52">
          <cell r="A52" t="str">
            <v>5％以下</v>
          </cell>
        </row>
        <row r="53">
          <cell r="A53" t="str">
            <v>5％を超え15％以下</v>
          </cell>
        </row>
        <row r="54">
          <cell r="A54" t="str">
            <v>15％を超え25％以下</v>
          </cell>
        </row>
        <row r="55">
          <cell r="A55" t="str">
            <v>25％を超え35％以下</v>
          </cell>
        </row>
        <row r="56">
          <cell r="A56" t="str">
            <v>35％を超えるもの</v>
          </cell>
        </row>
        <row r="72">
          <cell r="B72" t="str">
            <v>101：東北地方整備局</v>
          </cell>
        </row>
        <row r="73">
          <cell r="B73" t="str">
            <v>102：関東地方整備局</v>
          </cell>
        </row>
        <row r="74">
          <cell r="B74" t="str">
            <v>103：北陸地方整備局</v>
          </cell>
        </row>
        <row r="75">
          <cell r="B75" t="str">
            <v>104：中部地方整備局</v>
          </cell>
        </row>
        <row r="76">
          <cell r="B76" t="str">
            <v>105：近畿地方整備局</v>
          </cell>
        </row>
        <row r="77">
          <cell r="B77" t="str">
            <v>106：中国地方整備局</v>
          </cell>
        </row>
        <row r="78">
          <cell r="B78" t="str">
            <v>107：四国地方整備局</v>
          </cell>
        </row>
        <row r="79">
          <cell r="B79" t="str">
            <v>108：九州地方整備局</v>
          </cell>
        </row>
        <row r="80">
          <cell r="B80" t="str">
            <v>109：北海道開発局</v>
          </cell>
        </row>
        <row r="81">
          <cell r="B81" t="str">
            <v>110：沖縄総合事務局</v>
          </cell>
        </row>
        <row r="82">
          <cell r="B82" t="str">
            <v>211：名古屋港管理組合</v>
          </cell>
        </row>
        <row r="83">
          <cell r="B83" t="str">
            <v>212：四日市港管理組合</v>
          </cell>
        </row>
        <row r="84">
          <cell r="B84" t="str">
            <v>213：境港管理組合</v>
          </cell>
        </row>
        <row r="85">
          <cell r="B85" t="str">
            <v>214：苫小牧港管理組合</v>
          </cell>
        </row>
        <row r="86">
          <cell r="B86" t="str">
            <v>215：新居浜港務局</v>
          </cell>
        </row>
        <row r="87">
          <cell r="B87" t="str">
            <v>216：東京航空局</v>
          </cell>
        </row>
        <row r="88">
          <cell r="B88" t="str">
            <v>217：大阪航空局</v>
          </cell>
        </row>
        <row r="89">
          <cell r="B89" t="str">
            <v>218：新東京国際空港公団</v>
          </cell>
        </row>
        <row r="90">
          <cell r="B90" t="str">
            <v>219：石狩湾新港</v>
          </cell>
        </row>
        <row r="91">
          <cell r="B91" t="str">
            <v>999：その他</v>
          </cell>
        </row>
        <row r="96">
          <cell r="A96" t="str">
            <v>有り</v>
          </cell>
        </row>
        <row r="97">
          <cell r="A97" t="str">
            <v>無し</v>
          </cell>
        </row>
        <row r="122">
          <cell r="A122" t="str">
            <v>1：国際戦略港湾・国際拠点港湾</v>
          </cell>
        </row>
        <row r="123">
          <cell r="A123" t="str">
            <v>2：重要港湾・地方港湾（１）</v>
          </cell>
        </row>
        <row r="124">
          <cell r="A124" t="str">
            <v>3：地方港湾（２）</v>
          </cell>
        </row>
        <row r="125">
          <cell r="A125" t="str">
            <v>4：地方港湾（3）（一般交通等の影響を受ける場合）</v>
          </cell>
        </row>
        <row r="126">
          <cell r="A126" t="str">
            <v>5：地方港湾（3）（一般交通等の影響を受けない場合）</v>
          </cell>
        </row>
        <row r="130">
          <cell r="A130" t="str">
            <v>301：港湾浚渫工事</v>
          </cell>
        </row>
        <row r="131">
          <cell r="A131" t="str">
            <v>302：港湾浚渫工事</v>
          </cell>
        </row>
        <row r="132">
          <cell r="A132" t="str">
            <v>303：港湾浚渫工事</v>
          </cell>
        </row>
        <row r="133">
          <cell r="A133" t="str">
            <v>304：港湾浚渫工事</v>
          </cell>
        </row>
        <row r="134">
          <cell r="A134" t="str">
            <v>371：港湾浚渫工事（維持補修）</v>
          </cell>
        </row>
        <row r="135">
          <cell r="A135" t="str">
            <v>372：港湾浚渫工事（維持補修）</v>
          </cell>
        </row>
        <row r="136">
          <cell r="A136" t="str">
            <v>373：港湾浚渫工事（維持補修）</v>
          </cell>
        </row>
        <row r="137">
          <cell r="A137" t="str">
            <v>311：港湾構造物工事</v>
          </cell>
        </row>
        <row r="138">
          <cell r="A138" t="str">
            <v>312：港湾構造物工事</v>
          </cell>
        </row>
        <row r="139">
          <cell r="A139" t="str">
            <v>374：港湾構造物工事（維持補修）</v>
          </cell>
        </row>
        <row r="140">
          <cell r="A140" t="str">
            <v>375：港湾構造物工事（維持補修）</v>
          </cell>
        </row>
        <row r="141">
          <cell r="A141" t="str">
            <v>313：海岸工事(港)</v>
          </cell>
        </row>
        <row r="142">
          <cell r="A142" t="str">
            <v>376：海岸工事（港（維持補修））</v>
          </cell>
        </row>
        <row r="143">
          <cell r="A143" t="str">
            <v>314：防舷材、電気防食工事</v>
          </cell>
        </row>
        <row r="144">
          <cell r="A144" t="str">
            <v>315：防舷材、電気防食工事</v>
          </cell>
        </row>
        <row r="145">
          <cell r="A145" t="str">
            <v>316：防舷材、電気防食工事</v>
          </cell>
        </row>
        <row r="146">
          <cell r="A146" t="str">
            <v>381：河川・道路構造物工事（港）</v>
          </cell>
        </row>
        <row r="147">
          <cell r="A147" t="str">
            <v>382：河川・道路構造物工事（港）</v>
          </cell>
        </row>
        <row r="148">
          <cell r="A148" t="str">
            <v>383：河川・道路構造物工事（港）</v>
          </cell>
        </row>
        <row r="149">
          <cell r="A149" t="str">
            <v>384：河川・道路構造物工事（港）</v>
          </cell>
        </row>
        <row r="150">
          <cell r="A150" t="str">
            <v>385：河川・道路構造物工事（港）</v>
          </cell>
        </row>
        <row r="151">
          <cell r="A151" t="str">
            <v>386：河川・道路構造物工事（港）</v>
          </cell>
        </row>
        <row r="155">
          <cell r="A155" t="str">
            <v>1：一般道路</v>
          </cell>
        </row>
        <row r="156">
          <cell r="A156" t="str">
            <v>2：自動車専用道路</v>
          </cell>
        </row>
        <row r="157">
          <cell r="A157" t="str">
            <v>3：自動車専用道路及び鉄道等に近接又は交差する場所</v>
          </cell>
        </row>
        <row r="158">
          <cell r="A158" t="str">
            <v>4：上記以外の工事場所 （但し、空港制限区域内工事は除く）</v>
          </cell>
        </row>
        <row r="162">
          <cell r="A162" t="str">
            <v>1：国際戦略港湾・国際拠点港湾（2.0％）</v>
          </cell>
        </row>
        <row r="163">
          <cell r="A163" t="str">
            <v>2：重要港湾・地方港湾（１）（1.5％）</v>
          </cell>
        </row>
        <row r="164">
          <cell r="A164" t="str">
            <v>3：地方港湾（２）（1.0％）</v>
          </cell>
        </row>
        <row r="165">
          <cell r="A165" t="str">
            <v>4：地方港湾（３）工事場所が一般交通等の影響を受ける場合（1.5％）</v>
          </cell>
        </row>
        <row r="166">
          <cell r="A166" t="str">
            <v>5：地方港湾（３）工事場所が一般交通等の影響を受ける場合（0.0％）</v>
          </cell>
        </row>
        <row r="197">
          <cell r="C197" t="str">
            <v>千代田区</v>
          </cell>
        </row>
        <row r="198">
          <cell r="C198" t="str">
            <v>中央区</v>
          </cell>
        </row>
        <row r="199">
          <cell r="C199" t="str">
            <v>港区</v>
          </cell>
        </row>
        <row r="200">
          <cell r="C200" t="str">
            <v>新宿区</v>
          </cell>
        </row>
        <row r="201">
          <cell r="C201" t="str">
            <v>文京区</v>
          </cell>
        </row>
        <row r="202">
          <cell r="C202" t="str">
            <v>台東区</v>
          </cell>
        </row>
        <row r="203">
          <cell r="C203" t="str">
            <v>墨田区</v>
          </cell>
        </row>
        <row r="204">
          <cell r="C204" t="str">
            <v>江東区</v>
          </cell>
        </row>
        <row r="205">
          <cell r="C205" t="str">
            <v>品川区</v>
          </cell>
        </row>
        <row r="206">
          <cell r="C206" t="str">
            <v>目黒区</v>
          </cell>
        </row>
        <row r="207">
          <cell r="C207" t="str">
            <v>大田区</v>
          </cell>
        </row>
        <row r="208">
          <cell r="C208" t="str">
            <v>世田谷区</v>
          </cell>
        </row>
        <row r="209">
          <cell r="C209" t="str">
            <v>渋谷区</v>
          </cell>
        </row>
        <row r="210">
          <cell r="C210" t="str">
            <v>中野区</v>
          </cell>
        </row>
        <row r="211">
          <cell r="C211" t="str">
            <v>杉並区</v>
          </cell>
        </row>
        <row r="212">
          <cell r="C212" t="str">
            <v>豊島区</v>
          </cell>
        </row>
        <row r="213">
          <cell r="C213" t="str">
            <v>北区</v>
          </cell>
        </row>
        <row r="214">
          <cell r="C214" t="str">
            <v>荒川区</v>
          </cell>
        </row>
        <row r="215">
          <cell r="C215" t="str">
            <v>板橋区</v>
          </cell>
        </row>
        <row r="216">
          <cell r="C216" t="str">
            <v>練馬区</v>
          </cell>
        </row>
        <row r="217">
          <cell r="C217" t="str">
            <v>足立区</v>
          </cell>
        </row>
        <row r="218">
          <cell r="C218" t="str">
            <v>葛飾区</v>
          </cell>
        </row>
        <row r="219">
          <cell r="C219" t="str">
            <v>江戸川区</v>
          </cell>
        </row>
        <row r="220">
          <cell r="C220" t="str">
            <v>札幌市</v>
          </cell>
        </row>
        <row r="221">
          <cell r="C221" t="str">
            <v>仙台市</v>
          </cell>
        </row>
        <row r="222">
          <cell r="C222" t="str">
            <v>さいたま市</v>
          </cell>
        </row>
        <row r="223">
          <cell r="C223" t="str">
            <v>千葉市</v>
          </cell>
        </row>
        <row r="224">
          <cell r="C224" t="str">
            <v>横浜市</v>
          </cell>
        </row>
        <row r="225">
          <cell r="C225" t="str">
            <v>川崎市</v>
          </cell>
        </row>
        <row r="226">
          <cell r="C226" t="str">
            <v>相模原市</v>
          </cell>
        </row>
        <row r="227">
          <cell r="C227" t="str">
            <v>新潟市</v>
          </cell>
        </row>
        <row r="228">
          <cell r="C228" t="str">
            <v>静岡市</v>
          </cell>
        </row>
        <row r="229">
          <cell r="C229" t="str">
            <v>浜松市</v>
          </cell>
        </row>
        <row r="230">
          <cell r="C230" t="str">
            <v>名古屋市</v>
          </cell>
        </row>
        <row r="231">
          <cell r="C231" t="str">
            <v>京都市</v>
          </cell>
        </row>
        <row r="232">
          <cell r="C232" t="str">
            <v>大阪市</v>
          </cell>
        </row>
        <row r="233">
          <cell r="C233" t="str">
            <v>堺市</v>
          </cell>
        </row>
        <row r="234">
          <cell r="C234" t="str">
            <v>神戸市</v>
          </cell>
        </row>
        <row r="235">
          <cell r="C235" t="str">
            <v>岡山市</v>
          </cell>
        </row>
        <row r="236">
          <cell r="C236" t="str">
            <v>広島市</v>
          </cell>
        </row>
        <row r="237">
          <cell r="C237" t="str">
            <v>北九州市</v>
          </cell>
        </row>
        <row r="238">
          <cell r="C238" t="str">
            <v>福岡市</v>
          </cell>
        </row>
        <row r="239">
          <cell r="C239" t="str">
            <v>熊本市</v>
          </cell>
        </row>
        <row r="240">
          <cell r="C240" t="str">
            <v>函館市</v>
          </cell>
        </row>
        <row r="241">
          <cell r="C241" t="str">
            <v>旭川市</v>
          </cell>
        </row>
        <row r="242">
          <cell r="C242" t="str">
            <v>青森市</v>
          </cell>
        </row>
        <row r="243">
          <cell r="C243" t="str">
            <v>盛岡市</v>
          </cell>
        </row>
        <row r="244">
          <cell r="C244" t="str">
            <v>秋田市</v>
          </cell>
        </row>
        <row r="245">
          <cell r="C245" t="str">
            <v>郡山市</v>
          </cell>
        </row>
        <row r="246">
          <cell r="C246" t="str">
            <v>いわき市</v>
          </cell>
        </row>
        <row r="247">
          <cell r="C247" t="str">
            <v>宇都宮市</v>
          </cell>
        </row>
        <row r="248">
          <cell r="C248" t="str">
            <v>前橋市</v>
          </cell>
        </row>
        <row r="249">
          <cell r="C249" t="str">
            <v>高崎市</v>
          </cell>
        </row>
        <row r="250">
          <cell r="C250" t="str">
            <v>川越市</v>
          </cell>
        </row>
        <row r="251">
          <cell r="C251" t="str">
            <v>越谷市</v>
          </cell>
        </row>
        <row r="252">
          <cell r="C252" t="str">
            <v>船橋市</v>
          </cell>
        </row>
        <row r="253">
          <cell r="C253" t="str">
            <v>柏市</v>
          </cell>
        </row>
        <row r="254">
          <cell r="C254" t="str">
            <v>八王子市</v>
          </cell>
        </row>
        <row r="255">
          <cell r="C255" t="str">
            <v>横須賀市</v>
          </cell>
        </row>
        <row r="256">
          <cell r="C256" t="str">
            <v>富山市</v>
          </cell>
        </row>
        <row r="257">
          <cell r="C257" t="str">
            <v>金沢市</v>
          </cell>
        </row>
        <row r="258">
          <cell r="C258" t="str">
            <v>長野市</v>
          </cell>
        </row>
        <row r="259">
          <cell r="C259" t="str">
            <v>岐阜市</v>
          </cell>
        </row>
        <row r="260">
          <cell r="C260" t="str">
            <v>豊橋市</v>
          </cell>
        </row>
        <row r="261">
          <cell r="C261" t="str">
            <v>岡崎市</v>
          </cell>
        </row>
        <row r="262">
          <cell r="C262" t="str">
            <v>豊田市</v>
          </cell>
        </row>
        <row r="263">
          <cell r="C263" t="str">
            <v>大津市</v>
          </cell>
        </row>
        <row r="264">
          <cell r="C264" t="str">
            <v>豊中市</v>
          </cell>
        </row>
        <row r="265">
          <cell r="C265" t="str">
            <v>高槻市</v>
          </cell>
        </row>
        <row r="266">
          <cell r="C266" t="str">
            <v>枚方市</v>
          </cell>
        </row>
        <row r="267">
          <cell r="C267" t="str">
            <v>東大阪市</v>
          </cell>
        </row>
        <row r="268">
          <cell r="C268" t="str">
            <v>姫路市</v>
          </cell>
        </row>
        <row r="269">
          <cell r="C269" t="str">
            <v>尼崎市</v>
          </cell>
        </row>
        <row r="270">
          <cell r="C270" t="str">
            <v>西宮市</v>
          </cell>
        </row>
        <row r="271">
          <cell r="C271" t="str">
            <v>奈良市</v>
          </cell>
        </row>
        <row r="272">
          <cell r="C272" t="str">
            <v>和歌山市</v>
          </cell>
        </row>
        <row r="273">
          <cell r="C273" t="str">
            <v>倉敷市</v>
          </cell>
        </row>
        <row r="274">
          <cell r="C274" t="str">
            <v>福山市</v>
          </cell>
        </row>
        <row r="275">
          <cell r="C275" t="str">
            <v>呉市</v>
          </cell>
        </row>
        <row r="276">
          <cell r="C276" t="str">
            <v>下関市</v>
          </cell>
        </row>
        <row r="277">
          <cell r="C277" t="str">
            <v>高松市</v>
          </cell>
        </row>
        <row r="278">
          <cell r="C278" t="str">
            <v>松山市</v>
          </cell>
        </row>
        <row r="279">
          <cell r="C279" t="str">
            <v>高知市</v>
          </cell>
        </row>
        <row r="280">
          <cell r="C280" t="str">
            <v>久留米市</v>
          </cell>
        </row>
        <row r="281">
          <cell r="C281" t="str">
            <v>長崎市</v>
          </cell>
        </row>
        <row r="282">
          <cell r="C282" t="str">
            <v>佐世保市</v>
          </cell>
        </row>
        <row r="283">
          <cell r="C283" t="str">
            <v>大分市</v>
          </cell>
        </row>
        <row r="284">
          <cell r="C284" t="str">
            <v>宮崎市</v>
          </cell>
        </row>
        <row r="285">
          <cell r="C285" t="str">
            <v>鹿児島市</v>
          </cell>
        </row>
        <row r="286">
          <cell r="C286" t="str">
            <v>那覇市</v>
          </cell>
        </row>
        <row r="287">
          <cell r="C287" t="str">
            <v>八戸市</v>
          </cell>
        </row>
        <row r="288">
          <cell r="C288" t="str">
            <v>山形市</v>
          </cell>
        </row>
        <row r="289">
          <cell r="C289" t="str">
            <v>水戸市</v>
          </cell>
        </row>
        <row r="290">
          <cell r="C290" t="str">
            <v>つくば市</v>
          </cell>
        </row>
        <row r="291">
          <cell r="C291" t="str">
            <v>伊勢崎市</v>
          </cell>
        </row>
        <row r="292">
          <cell r="C292" t="str">
            <v>太田市</v>
          </cell>
        </row>
        <row r="293">
          <cell r="C293" t="str">
            <v>熊谷市</v>
          </cell>
        </row>
        <row r="294">
          <cell r="C294" t="str">
            <v>川口市</v>
          </cell>
        </row>
        <row r="295">
          <cell r="C295" t="str">
            <v>所沢市</v>
          </cell>
        </row>
        <row r="296">
          <cell r="C296" t="str">
            <v>春日部市</v>
          </cell>
        </row>
        <row r="297">
          <cell r="C297" t="str">
            <v>草加市</v>
          </cell>
        </row>
        <row r="298">
          <cell r="C298" t="str">
            <v>平塚市</v>
          </cell>
        </row>
        <row r="299">
          <cell r="C299" t="str">
            <v>小田原市</v>
          </cell>
        </row>
        <row r="300">
          <cell r="C300" t="str">
            <v>茅ヶ崎市</v>
          </cell>
        </row>
        <row r="301">
          <cell r="C301" t="str">
            <v>厚木市</v>
          </cell>
        </row>
        <row r="302">
          <cell r="C302" t="str">
            <v>大和市</v>
          </cell>
        </row>
        <row r="303">
          <cell r="C303" t="str">
            <v>長岡市</v>
          </cell>
        </row>
        <row r="304">
          <cell r="C304" t="str">
            <v>上越市</v>
          </cell>
        </row>
        <row r="305">
          <cell r="C305" t="str">
            <v>福井市</v>
          </cell>
        </row>
        <row r="306">
          <cell r="C306" t="str">
            <v>甲府市</v>
          </cell>
        </row>
        <row r="307">
          <cell r="C307" t="str">
            <v>松本市</v>
          </cell>
        </row>
        <row r="308">
          <cell r="C308" t="str">
            <v>沼津市</v>
          </cell>
        </row>
        <row r="309">
          <cell r="C309" t="str">
            <v>富士市</v>
          </cell>
        </row>
        <row r="310">
          <cell r="C310" t="str">
            <v>一宮市</v>
          </cell>
        </row>
        <row r="311">
          <cell r="C311" t="str">
            <v>春日井市</v>
          </cell>
        </row>
        <row r="312">
          <cell r="C312" t="str">
            <v>四日市市</v>
          </cell>
        </row>
        <row r="313">
          <cell r="C313" t="str">
            <v>岸和田市</v>
          </cell>
        </row>
        <row r="314">
          <cell r="C314" t="str">
            <v>吹田市</v>
          </cell>
        </row>
        <row r="315">
          <cell r="C315" t="str">
            <v>茨木市</v>
          </cell>
        </row>
        <row r="316">
          <cell r="C316" t="str">
            <v>八尾市</v>
          </cell>
        </row>
        <row r="317">
          <cell r="C317" t="str">
            <v>寝屋川市</v>
          </cell>
        </row>
        <row r="318">
          <cell r="C318" t="str">
            <v>明石市</v>
          </cell>
        </row>
        <row r="319">
          <cell r="C319" t="str">
            <v>加古川市</v>
          </cell>
        </row>
        <row r="320">
          <cell r="C320" t="str">
            <v>宝塚市</v>
          </cell>
        </row>
        <row r="321">
          <cell r="C321" t="str">
            <v>鳥取市</v>
          </cell>
        </row>
        <row r="322">
          <cell r="C322" t="str">
            <v>松江市</v>
          </cell>
        </row>
        <row r="323">
          <cell r="C323" t="str">
            <v>佐賀市</v>
          </cell>
        </row>
        <row r="324">
          <cell r="C324" t="str">
            <v>その他</v>
          </cell>
        </row>
        <row r="363">
          <cell r="A363" t="str">
            <v>有り</v>
          </cell>
        </row>
        <row r="364">
          <cell r="A364" t="str">
            <v>無し</v>
          </cell>
        </row>
        <row r="370">
          <cell r="A370" t="str">
            <v>降雨</v>
          </cell>
        </row>
        <row r="371">
          <cell r="A371" t="str">
            <v>降雪</v>
          </cell>
        </row>
        <row r="372">
          <cell r="A372" t="str">
            <v>風</v>
          </cell>
        </row>
        <row r="373">
          <cell r="A373" t="str">
            <v>波浪</v>
          </cell>
        </row>
        <row r="374">
          <cell r="A374" t="str">
            <v>その他</v>
          </cell>
        </row>
        <row r="380">
          <cell r="A380" t="str">
            <v>YES</v>
          </cell>
        </row>
        <row r="381">
          <cell r="A381" t="str">
            <v>NO</v>
          </cell>
        </row>
        <row r="394">
          <cell r="A394" t="str">
            <v>占用許可</v>
          </cell>
        </row>
        <row r="395">
          <cell r="A395" t="str">
            <v>使用許可</v>
          </cell>
        </row>
        <row r="396">
          <cell r="A396" t="str">
            <v>用地取得</v>
          </cell>
        </row>
        <row r="397">
          <cell r="A397" t="str">
            <v>地元説明</v>
          </cell>
        </row>
        <row r="398">
          <cell r="A398" t="str">
            <v>概算概略発注</v>
          </cell>
        </row>
        <row r="399">
          <cell r="A399" t="str">
            <v>その他</v>
          </cell>
        </row>
        <row r="403">
          <cell r="A403" t="str">
            <v>4時間/日未満</v>
          </cell>
        </row>
        <row r="404">
          <cell r="A404" t="str">
            <v>4時間/日以上～7時間/日以下</v>
          </cell>
        </row>
        <row r="405">
          <cell r="A405" t="str">
            <v>7時間を超え7.5時間/日以下</v>
          </cell>
        </row>
        <row r="406">
          <cell r="A406" t="str">
            <v>その他</v>
          </cell>
        </row>
        <row r="412">
          <cell r="A412" t="str">
            <v>大型ゴム支承</v>
          </cell>
        </row>
        <row r="413">
          <cell r="A413" t="str">
            <v>遮音壁</v>
          </cell>
        </row>
        <row r="414">
          <cell r="A414" t="str">
            <v>共同溝工事において使用している、またはそれに類する大型のプレキャスト・ボックスカルバート</v>
          </cell>
        </row>
        <row r="415">
          <cell r="A415" t="str">
            <v>モニュメント</v>
          </cell>
        </row>
        <row r="416">
          <cell r="A416" t="str">
            <v>デザイン高欄</v>
          </cell>
        </row>
        <row r="417">
          <cell r="A417" t="str">
            <v>デザイン照明ポール</v>
          </cell>
        </row>
        <row r="418">
          <cell r="A418" t="str">
            <v>鋼管杭、鋼管矢板</v>
          </cell>
        </row>
        <row r="419">
          <cell r="A419" t="str">
            <v>防舷材</v>
          </cell>
        </row>
        <row r="420">
          <cell r="A420" t="str">
            <v>汚濁防止膜</v>
          </cell>
        </row>
        <row r="421">
          <cell r="A421" t="str">
            <v>アルミ陽極</v>
          </cell>
        </row>
        <row r="422">
          <cell r="A422" t="str">
            <v>その他（上記リスト以外は、品目欄の右に入力してください。）</v>
          </cell>
        </row>
        <row r="439">
          <cell r="A439" t="str">
            <v>行った</v>
          </cell>
        </row>
        <row r="440">
          <cell r="A440" t="str">
            <v>行わない</v>
          </cell>
        </row>
        <row r="444">
          <cell r="A444" t="str">
            <v>○</v>
          </cell>
        </row>
        <row r="445">
          <cell r="A445" t="str">
            <v>×</v>
          </cell>
        </row>
      </sheetData>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1-1_工事情報"/>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9_工事費"/>
      <sheetName val="10_下請入力"/>
      <sheetName val="11_組織図"/>
      <sheetName val="12_社員等従業員給料等_下請"/>
      <sheetName val="13_法定福利費_下請"/>
      <sheetName val="14_労務管理費_下請"/>
      <sheetName val="15-1_機器材運搬費_下請"/>
      <sheetName val="15-2_建設機械Ⅰ_下請"/>
      <sheetName val="15-3_建設機械Ⅱ_下請"/>
      <sheetName val="16-1_品質管理(港湾)"/>
      <sheetName val="16-2_特殊な品質管理"/>
      <sheetName val="16-3_現場条件等"/>
      <sheetName val="16-4_各種調査"/>
      <sheetName val="16-5_各種台帳"/>
      <sheetName val="16-6_その他"/>
      <sheetName val="17-1_準備・測量"/>
      <sheetName val="17-2_その他"/>
      <sheetName val="18-1_ｲﾒｰｼﾞｱｯﾌﾟ_仮設備(港湾)"/>
      <sheetName val="18-2_ｲﾒｰｼﾞｱｯﾌﾟ_営繕(港湾)"/>
      <sheetName val="18-3_ｲﾒｰｼﾞｱｯﾌﾟ_安全(港湾)"/>
      <sheetName val="18-4_ｲﾒｰｼﾞｱｯﾌﾟ_その他(港湾)"/>
      <sheetName val="19_水雷_傷害(港湾)"/>
      <sheetName val="20_労働者海上輸送(港湾)"/>
      <sheetName val="21_回航費(港湾)"/>
      <sheetName val="22_えい航費(港湾)"/>
      <sheetName val="23_施工地域"/>
      <sheetName val="24_施工形態"/>
      <sheetName val="25_足場費用"/>
      <sheetName val="26_確認"/>
      <sheetName val="table"/>
      <sheetName val="基礎データ"/>
      <sheetName val="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B3" t="str">
            <v>101：東北地方整備局</v>
          </cell>
        </row>
        <row r="126">
          <cell r="B126" t="str">
            <v>①同一港湾内で複数</v>
          </cell>
        </row>
        <row r="127">
          <cell r="B127" t="str">
            <v>②他の港湾を含めて複数</v>
          </cell>
        </row>
        <row r="290">
          <cell r="B290" t="str">
            <v>国際戦略港湾・国際拠点港湾</v>
          </cell>
        </row>
        <row r="291">
          <cell r="B291" t="str">
            <v>重要港湾</v>
          </cell>
        </row>
        <row r="292">
          <cell r="B292" t="str">
            <v>地方港湾(1)</v>
          </cell>
        </row>
        <row r="293">
          <cell r="B293" t="str">
            <v>地方港湾(2)</v>
          </cell>
        </row>
        <row r="294">
          <cell r="B294" t="str">
            <v>地方港湾(3)工事場所が一般交通等の影響を受ける場合</v>
          </cell>
        </row>
        <row r="295">
          <cell r="B295" t="str">
            <v>地方港湾(3)工事場所が一般交通等の影響を受けない場合</v>
          </cell>
        </row>
        <row r="296">
          <cell r="B296" t="str">
            <v>その他（下記の黄色の記入欄に具体的ご記入下さい）</v>
          </cell>
        </row>
        <row r="349">
          <cell r="B349" t="str">
            <v>無</v>
          </cell>
        </row>
        <row r="350">
          <cell r="B350" t="str">
            <v>有</v>
          </cell>
        </row>
        <row r="355">
          <cell r="B355" t="str">
            <v>浚渫工事</v>
          </cell>
        </row>
        <row r="356">
          <cell r="B356" t="str">
            <v>構造物工事</v>
          </cell>
        </row>
        <row r="357">
          <cell r="B357" t="str">
            <v>海岸工事</v>
          </cell>
        </row>
      </sheetData>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期"/>
      <sheetName val="施工分散"/>
      <sheetName val="施工環境"/>
      <sheetName val="二次製品"/>
      <sheetName val="工事費"/>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3">
          <cell r="A393">
            <v>2</v>
          </cell>
        </row>
        <row r="394">
          <cell r="A394">
            <v>1.5</v>
          </cell>
        </row>
        <row r="395">
          <cell r="A395">
            <v>1.3</v>
          </cell>
        </row>
        <row r="451">
          <cell r="A451" t="str">
            <v>有</v>
          </cell>
        </row>
        <row r="452">
          <cell r="A452" t="str">
            <v>無</v>
          </cell>
        </row>
        <row r="456">
          <cell r="A456" t="str">
            <v>昼間施工</v>
          </cell>
        </row>
        <row r="457">
          <cell r="A457" t="str">
            <v>夜間施工</v>
          </cell>
        </row>
        <row r="458">
          <cell r="A458" t="str">
            <v>昼夜間施工</v>
          </cell>
        </row>
        <row r="462">
          <cell r="A462" t="str">
            <v>路上</v>
          </cell>
        </row>
        <row r="463">
          <cell r="A463" t="str">
            <v>その他</v>
          </cell>
        </row>
        <row r="467">
          <cell r="A467" t="str">
            <v>日々運搬回送</v>
          </cell>
        </row>
        <row r="468">
          <cell r="A468" t="str">
            <v>保管場所あり</v>
          </cell>
        </row>
        <row r="477">
          <cell r="A477" t="str">
            <v>市街地</v>
          </cell>
        </row>
        <row r="478">
          <cell r="A478" t="str">
            <v>山間僻地及び離島</v>
          </cell>
        </row>
        <row r="479">
          <cell r="A479" t="str">
            <v>地方部（施工場所が一般交通等の影響を受ける地区）</v>
          </cell>
        </row>
        <row r="480">
          <cell r="A480" t="str">
            <v>地方部（施工場所が一般交通等の影響を受けない地区）</v>
          </cell>
        </row>
        <row r="481">
          <cell r="A481" t="str">
            <v>大都市（１）</v>
          </cell>
        </row>
        <row r="482">
          <cell r="A482" t="str">
            <v>大都市（２）</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準備費"/>
      <sheetName val="確認"/>
      <sheetName val="チェック"/>
      <sheetName val="要確認一覧表"/>
      <sheetName val="KKS"/>
      <sheetName val="Table"/>
    </sheetNames>
    <sheetDataSet>
      <sheetData sheetId="0" refreshError="1"/>
      <sheetData sheetId="1" refreshError="1"/>
      <sheetData sheetId="2" refreshError="1"/>
      <sheetData sheetId="3">
        <row r="23">
          <cell r="J23">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A5" t="str">
            <v>一般土木</v>
          </cell>
        </row>
        <row r="206">
          <cell r="A206" t="str">
            <v>1：補正有り</v>
          </cell>
        </row>
        <row r="207">
          <cell r="A207" t="str">
            <v>2：補正なし</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row r="38">
          <cell r="F3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56">
          <cell r="A556" t="str">
            <v>発注者指定</v>
          </cell>
        </row>
        <row r="557">
          <cell r="A557" t="str">
            <v>施工者希望</v>
          </cell>
        </row>
        <row r="561">
          <cell r="A561" t="str">
            <v>ＴＳ・ＧＮＳＳを用いた締固め管理</v>
          </cell>
        </row>
        <row r="562">
          <cell r="A562" t="str">
            <v>２ＤMＧ（バックホウ）</v>
          </cell>
        </row>
        <row r="563">
          <cell r="A563" t="str">
            <v>３ＤMＧ（バックホウ）</v>
          </cell>
        </row>
        <row r="564">
          <cell r="A564" t="str">
            <v>２ＤMＧ（ブルドーザ）</v>
          </cell>
        </row>
        <row r="565">
          <cell r="A565" t="str">
            <v>３ＤMＧ（ブルドーザ）</v>
          </cell>
        </row>
        <row r="566">
          <cell r="A566" t="str">
            <v>MC（ブルドーザ）</v>
          </cell>
        </row>
        <row r="567">
          <cell r="A567" t="str">
            <v>MC（モータグレーダ）</v>
          </cell>
        </row>
        <row r="568">
          <cell r="A568" t="str">
            <v>TS出来形管理（舗装工）</v>
          </cell>
        </row>
        <row r="569">
          <cell r="A569" t="str">
            <v>TS出来形管理（土工）</v>
          </cell>
        </row>
        <row r="579">
          <cell r="A579" t="str">
            <v>有り</v>
          </cell>
        </row>
        <row r="580">
          <cell r="A580" t="str">
            <v>無し</v>
          </cell>
        </row>
        <row r="607">
          <cell r="A607" t="str">
            <v>河川土工</v>
          </cell>
        </row>
        <row r="608">
          <cell r="A608" t="str">
            <v>道路土工</v>
          </cell>
        </row>
        <row r="609">
          <cell r="A609" t="str">
            <v>舗装工</v>
          </cell>
        </row>
        <row r="610">
          <cell r="A61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4"/>
  </sheetPr>
  <dimension ref="A1:AC35"/>
  <sheetViews>
    <sheetView showGridLines="0" tabSelected="1" zoomScaleNormal="100" zoomScaleSheetLayoutView="100" workbookViewId="0">
      <selection activeCell="S3" sqref="S3"/>
    </sheetView>
  </sheetViews>
  <sheetFormatPr defaultRowHeight="12"/>
  <cols>
    <col min="1" max="23" width="2.625" style="49" customWidth="1"/>
    <col min="24" max="24" width="1.375" style="49" customWidth="1"/>
    <col min="25" max="49" width="2.625" style="49" customWidth="1"/>
    <col min="50" max="16384" width="9" style="49"/>
  </cols>
  <sheetData>
    <row r="1" spans="1:22" s="129" customFormat="1" ht="16.5" customHeight="1">
      <c r="A1" s="212"/>
      <c r="B1" s="2246" t="s">
        <v>2253</v>
      </c>
      <c r="C1" s="2246"/>
      <c r="D1" s="2246"/>
      <c r="E1" s="2246"/>
      <c r="F1" s="2246"/>
      <c r="G1" s="567" t="s">
        <v>421</v>
      </c>
      <c r="J1" s="128"/>
      <c r="K1" s="128"/>
      <c r="L1" s="128"/>
      <c r="M1" s="128"/>
      <c r="N1" s="128"/>
      <c r="O1" s="128"/>
      <c r="P1" s="128"/>
      <c r="Q1" s="128"/>
      <c r="R1" s="128"/>
      <c r="S1" s="1821" t="s">
        <v>5754</v>
      </c>
      <c r="T1" s="128"/>
      <c r="U1" s="128"/>
      <c r="V1" s="128"/>
    </row>
    <row r="2" spans="1:22" s="129" customFormat="1" ht="16.5" hidden="1" customHeight="1">
      <c r="A2" s="2247" t="s">
        <v>2061</v>
      </c>
      <c r="B2" s="2247"/>
      <c r="C2" s="2247"/>
      <c r="D2" s="2247"/>
      <c r="E2" s="2247"/>
      <c r="F2" s="2247"/>
      <c r="G2" s="567">
        <v>1</v>
      </c>
      <c r="J2" s="128"/>
      <c r="K2" s="128"/>
      <c r="L2" s="128"/>
      <c r="M2" s="128"/>
      <c r="N2" s="128"/>
      <c r="O2" s="128"/>
      <c r="P2" s="128"/>
      <c r="Q2" s="128"/>
      <c r="R2" s="128"/>
      <c r="S2" s="128"/>
      <c r="T2" s="128"/>
      <c r="U2" s="128"/>
      <c r="V2" s="128"/>
    </row>
    <row r="3" spans="1:22" s="129" customFormat="1" ht="16.5" customHeight="1">
      <c r="A3" s="680"/>
      <c r="B3" s="680"/>
      <c r="C3" s="680"/>
      <c r="D3" s="680"/>
      <c r="E3" s="680"/>
      <c r="F3" s="680"/>
      <c r="G3" s="567"/>
      <c r="J3" s="128"/>
      <c r="K3" s="128"/>
      <c r="L3" s="128"/>
      <c r="M3" s="128"/>
      <c r="N3" s="128"/>
      <c r="O3" s="128"/>
      <c r="P3" s="128"/>
      <c r="Q3" s="128"/>
      <c r="R3" s="128"/>
      <c r="S3" s="128"/>
      <c r="T3" s="128"/>
      <c r="U3" s="128"/>
      <c r="V3" s="128"/>
    </row>
    <row r="4" spans="1:22" s="129" customFormat="1" ht="16.5" hidden="1" customHeight="1">
      <c r="A4" s="680"/>
      <c r="B4" s="2248" t="s">
        <v>486</v>
      </c>
      <c r="C4" s="2248"/>
      <c r="D4" s="2248"/>
      <c r="E4" s="2248"/>
      <c r="F4" s="1833" t="str">
        <f t="shared" ref="F4" si="0">IF(G4="","※","")</f>
        <v>※</v>
      </c>
      <c r="G4" s="2249"/>
      <c r="H4" s="2249"/>
      <c r="I4" s="2249"/>
      <c r="J4" s="2249"/>
      <c r="K4" s="2249"/>
      <c r="L4" s="2249"/>
      <c r="M4" s="1832" t="s">
        <v>2095</v>
      </c>
      <c r="N4" s="128"/>
      <c r="O4" s="128"/>
      <c r="P4" s="128"/>
      <c r="Q4" s="128"/>
      <c r="R4" s="49"/>
      <c r="S4" s="49"/>
      <c r="T4" s="49"/>
      <c r="U4" s="49"/>
      <c r="V4" s="49"/>
    </row>
    <row r="5" spans="1:22" s="129" customFormat="1" ht="16.5" hidden="1" customHeight="1">
      <c r="A5" s="680"/>
      <c r="B5" s="680"/>
      <c r="C5" s="680"/>
      <c r="D5" s="680"/>
      <c r="E5" s="680"/>
      <c r="F5" s="680"/>
      <c r="G5" s="567"/>
      <c r="J5" s="128"/>
      <c r="K5" s="128"/>
      <c r="L5" s="128"/>
      <c r="M5" s="128"/>
      <c r="N5" s="128"/>
      <c r="O5" s="128"/>
      <c r="P5" s="128"/>
      <c r="Q5" s="128"/>
      <c r="R5" s="128"/>
      <c r="S5" s="128"/>
      <c r="T5" s="128"/>
      <c r="U5" s="128"/>
      <c r="V5" s="128"/>
    </row>
    <row r="6" spans="1:22" ht="13.5" customHeight="1">
      <c r="B6" s="126" t="s">
        <v>850</v>
      </c>
      <c r="F6" s="72"/>
    </row>
    <row r="7" spans="1:22" ht="12" customHeight="1">
      <c r="B7" s="72" t="s">
        <v>222</v>
      </c>
      <c r="F7" s="72"/>
    </row>
    <row r="8" spans="1:22" ht="5.0999999999999996" customHeight="1">
      <c r="B8" s="72"/>
      <c r="F8" s="72"/>
    </row>
    <row r="9" spans="1:22">
      <c r="B9" s="49" t="s">
        <v>119</v>
      </c>
      <c r="G9" s="72"/>
    </row>
    <row r="10" spans="1:22" ht="13.5" customHeight="1">
      <c r="C10" s="93" t="s">
        <v>120</v>
      </c>
      <c r="D10" s="130" t="s">
        <v>121</v>
      </c>
      <c r="E10" s="49" t="s">
        <v>122</v>
      </c>
      <c r="F10" s="72"/>
    </row>
    <row r="11" spans="1:22" ht="13.5" customHeight="1">
      <c r="C11" s="93"/>
      <c r="D11" s="130"/>
      <c r="E11" s="49" t="s">
        <v>953</v>
      </c>
      <c r="F11" s="72"/>
    </row>
    <row r="12" spans="1:22" ht="13.5" customHeight="1">
      <c r="C12" s="93" t="s">
        <v>954</v>
      </c>
      <c r="D12" s="130" t="s">
        <v>121</v>
      </c>
      <c r="E12" s="49" t="s">
        <v>849</v>
      </c>
      <c r="F12" s="72"/>
    </row>
    <row r="13" spans="1:22" ht="13.5" customHeight="1">
      <c r="C13" s="218" t="s">
        <v>750</v>
      </c>
    </row>
    <row r="14" spans="1:22" ht="5.0999999999999996" customHeight="1"/>
    <row r="15" spans="1:22" ht="12" customHeight="1"/>
    <row r="16" spans="1:22" ht="13.5" customHeight="1">
      <c r="B16" s="72" t="s">
        <v>490</v>
      </c>
    </row>
    <row r="17" spans="2:29">
      <c r="C17" s="49" t="s">
        <v>491</v>
      </c>
    </row>
    <row r="19" spans="2:29">
      <c r="Q19" s="125"/>
      <c r="R19" s="156"/>
      <c r="S19" s="72"/>
      <c r="T19" s="72"/>
      <c r="U19" s="72"/>
      <c r="V19" s="72"/>
    </row>
    <row r="20" spans="2:29">
      <c r="Q20" s="72"/>
      <c r="R20" s="72"/>
      <c r="S20" s="72"/>
      <c r="T20" s="72"/>
      <c r="U20" s="72"/>
      <c r="V20" s="72"/>
    </row>
    <row r="21" spans="2:29">
      <c r="Q21" s="72"/>
      <c r="R21" s="72"/>
      <c r="S21" s="72"/>
      <c r="T21" s="72"/>
      <c r="U21" s="72"/>
      <c r="V21" s="72"/>
    </row>
    <row r="22" spans="2:29">
      <c r="Q22" s="72"/>
      <c r="R22" s="72"/>
      <c r="S22" s="72"/>
      <c r="T22" s="72"/>
      <c r="U22" s="72"/>
      <c r="V22" s="72"/>
    </row>
    <row r="23" spans="2:29">
      <c r="E23" s="132"/>
      <c r="F23" s="132"/>
      <c r="G23" s="132"/>
      <c r="H23" s="132"/>
      <c r="I23" s="72"/>
      <c r="Q23" s="72"/>
      <c r="R23" s="72"/>
      <c r="S23" s="72"/>
      <c r="T23" s="72"/>
      <c r="U23" s="72"/>
      <c r="V23" s="72"/>
      <c r="X23" s="125"/>
      <c r="Y23" s="72"/>
      <c r="Z23" s="72"/>
      <c r="AA23" s="72"/>
      <c r="AB23" s="72"/>
      <c r="AC23" s="72"/>
    </row>
    <row r="24" spans="2:29">
      <c r="B24" s="1577" t="s">
        <v>2254</v>
      </c>
      <c r="C24" s="1577"/>
      <c r="D24" s="1577"/>
      <c r="E24" s="132"/>
      <c r="F24" s="132"/>
      <c r="G24" s="132"/>
      <c r="H24" s="132"/>
      <c r="I24" s="72"/>
      <c r="Q24" s="72"/>
      <c r="R24" s="72"/>
      <c r="S24" s="72"/>
      <c r="T24" s="72"/>
      <c r="U24" s="72"/>
      <c r="V24" s="72"/>
      <c r="X24" s="125"/>
      <c r="Y24" s="72"/>
      <c r="Z24" s="72"/>
      <c r="AA24" s="72"/>
      <c r="AB24" s="72"/>
      <c r="AC24" s="72"/>
    </row>
    <row r="25" spans="2:29">
      <c r="B25" s="1577" t="s">
        <v>2324</v>
      </c>
      <c r="C25" s="1577"/>
      <c r="D25" s="1577"/>
      <c r="E25" s="132"/>
      <c r="F25" s="132"/>
      <c r="G25" s="132"/>
      <c r="H25" s="132"/>
      <c r="I25" s="72"/>
      <c r="Q25" s="72"/>
      <c r="R25" s="72"/>
      <c r="S25" s="72"/>
      <c r="T25" s="72"/>
      <c r="U25" s="72"/>
      <c r="V25" s="72"/>
      <c r="X25" s="125"/>
      <c r="Y25" s="72"/>
      <c r="Z25" s="72"/>
      <c r="AA25" s="72"/>
      <c r="AB25" s="72"/>
      <c r="AC25" s="72"/>
    </row>
    <row r="26" spans="2:29">
      <c r="B26" s="1577"/>
      <c r="C26" s="1577"/>
      <c r="D26" s="1577"/>
      <c r="E26" s="132"/>
      <c r="F26" s="132"/>
      <c r="G26" s="132"/>
      <c r="H26" s="132"/>
      <c r="I26" s="72"/>
      <c r="Q26" s="72"/>
      <c r="R26" s="72"/>
      <c r="S26" s="72"/>
      <c r="T26" s="72"/>
      <c r="U26" s="72"/>
      <c r="V26" s="72"/>
      <c r="X26" s="125"/>
      <c r="Y26" s="72"/>
      <c r="Z26" s="72"/>
      <c r="AA26" s="72"/>
      <c r="AB26" s="72"/>
      <c r="AC26" s="72"/>
    </row>
    <row r="27" spans="2:29">
      <c r="E27" s="132"/>
      <c r="F27" s="132"/>
      <c r="G27" s="132"/>
      <c r="H27" s="132"/>
      <c r="I27" s="72"/>
      <c r="Q27" s="72"/>
      <c r="R27" s="72"/>
      <c r="S27" s="72"/>
      <c r="T27" s="72"/>
      <c r="U27" s="72"/>
      <c r="V27" s="72"/>
      <c r="X27" s="125"/>
      <c r="Y27" s="72"/>
      <c r="Z27" s="72"/>
      <c r="AA27" s="72"/>
      <c r="AB27" s="72"/>
      <c r="AC27" s="72"/>
    </row>
    <row r="28" spans="2:29">
      <c r="E28" s="132"/>
      <c r="F28" s="132"/>
      <c r="G28" s="132"/>
      <c r="H28" s="132"/>
      <c r="I28" s="72"/>
      <c r="Q28" s="72"/>
      <c r="R28" s="72"/>
      <c r="S28" s="72"/>
      <c r="T28" s="72"/>
      <c r="U28" s="72"/>
      <c r="V28" s="72"/>
      <c r="X28" s="125"/>
      <c r="Y28" s="72"/>
      <c r="Z28" s="72"/>
      <c r="AA28" s="72"/>
      <c r="AB28" s="72"/>
      <c r="AC28" s="72"/>
    </row>
    <row r="29" spans="2:29">
      <c r="E29" s="132"/>
      <c r="F29" s="132"/>
      <c r="G29" s="132"/>
      <c r="H29" s="132"/>
      <c r="I29" s="72"/>
      <c r="Q29" s="72"/>
      <c r="R29" s="72"/>
      <c r="S29" s="72"/>
      <c r="T29" s="72"/>
      <c r="U29" s="72"/>
      <c r="V29" s="72"/>
      <c r="X29" s="125"/>
      <c r="Y29" s="72"/>
      <c r="Z29" s="72"/>
      <c r="AA29" s="72"/>
      <c r="AB29" s="72"/>
      <c r="AC29" s="72"/>
    </row>
    <row r="30" spans="2:29">
      <c r="Q30" s="72"/>
      <c r="R30" s="72"/>
      <c r="S30" s="72"/>
      <c r="T30" s="72"/>
      <c r="U30" s="72"/>
      <c r="V30" s="72"/>
      <c r="X30" s="72"/>
      <c r="Y30" s="72"/>
      <c r="Z30" s="72"/>
      <c r="AA30" s="72"/>
      <c r="AB30" s="72"/>
      <c r="AC30" s="72"/>
    </row>
    <row r="31" spans="2:29">
      <c r="Q31" s="72"/>
      <c r="R31" s="72"/>
      <c r="S31" s="72"/>
      <c r="T31" s="72"/>
      <c r="U31" s="72"/>
      <c r="V31" s="72"/>
      <c r="X31" s="72"/>
      <c r="Y31" s="72"/>
      <c r="Z31" s="72"/>
      <c r="AA31" s="72"/>
      <c r="AB31" s="72"/>
      <c r="AC31" s="72"/>
    </row>
    <row r="32" spans="2:29">
      <c r="Q32" s="72"/>
      <c r="R32" s="72"/>
      <c r="S32" s="72"/>
      <c r="T32" s="72"/>
      <c r="U32" s="72"/>
      <c r="V32" s="72"/>
      <c r="X32" s="72"/>
      <c r="Y32" s="72"/>
      <c r="Z32" s="72"/>
      <c r="AA32" s="72"/>
      <c r="AB32" s="72"/>
      <c r="AC32" s="72"/>
    </row>
    <row r="33" spans="3:24">
      <c r="C33" s="129"/>
      <c r="D33" s="133"/>
      <c r="I33" s="134"/>
      <c r="X33" s="133"/>
    </row>
    <row r="34" spans="3:24" ht="13.5" customHeight="1">
      <c r="C34" s="129"/>
      <c r="D34" s="133"/>
      <c r="I34" s="134"/>
    </row>
    <row r="35" spans="3:24">
      <c r="C35" s="129"/>
      <c r="I35" s="130"/>
    </row>
  </sheetData>
  <sheetProtection algorithmName="SHA-512" hashValue="H3/1fkQMFnODlnLAlszhy8dLpK2CAs1eLqpK+vcjO645GrWlNkw0/zEJdE1kk1r6xkSf52ytWJCsAnLiai1m3g==" saltValue="n7yX51+zCOgq839TKI61kw==" spinCount="100000" sheet="1" objects="1" scenarios="1"/>
  <mergeCells count="4">
    <mergeCell ref="B1:F1"/>
    <mergeCell ref="A2:F2"/>
    <mergeCell ref="B4:E4"/>
    <mergeCell ref="G4:L4"/>
  </mergeCells>
  <phoneticPr fontId="4"/>
  <printOptions horizontalCentered="1"/>
  <pageMargins left="0.78740157480314965" right="0.78740157480314965" top="0.59055118110236227" bottom="0.98425196850393704"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44"/>
  </sheetPr>
  <dimension ref="A1:AA128"/>
  <sheetViews>
    <sheetView showGridLines="0" topLeftCell="A2" zoomScaleNormal="100" zoomScaleSheetLayoutView="115" workbookViewId="0">
      <selection activeCell="E16" sqref="E16:E21"/>
    </sheetView>
  </sheetViews>
  <sheetFormatPr defaultRowHeight="12"/>
  <cols>
    <col min="1" max="2" width="3.125" style="49" customWidth="1"/>
    <col min="3" max="3" width="21" style="49" customWidth="1"/>
    <col min="4" max="4" width="7.875" style="49" customWidth="1"/>
    <col min="5" max="5" width="6.75" style="49" customWidth="1"/>
    <col min="6" max="6" width="5" style="49" customWidth="1"/>
    <col min="7" max="7" width="20" style="74" customWidth="1"/>
    <col min="8" max="8" width="12.625" style="49" customWidth="1"/>
    <col min="9" max="10" width="11.375" style="49" customWidth="1"/>
    <col min="11" max="11" width="2.5" style="49" customWidth="1"/>
    <col min="12" max="13" width="11.625" style="49" customWidth="1"/>
    <col min="14" max="14" width="6.75" style="49" bestFit="1" customWidth="1"/>
    <col min="15" max="15" width="13.75" style="49" customWidth="1"/>
    <col min="16" max="16384" width="9" style="49"/>
  </cols>
  <sheetData>
    <row r="1" spans="1:27" hidden="1">
      <c r="A1" s="808" t="s">
        <v>642</v>
      </c>
      <c r="B1" s="808">
        <f>COUNTIF($E$10:$E$21,"※")</f>
        <v>0</v>
      </c>
      <c r="C1" s="809" t="s">
        <v>1081</v>
      </c>
      <c r="D1" s="808">
        <f>COUNTIF($E$10:$E$21,"E")</f>
        <v>0</v>
      </c>
    </row>
    <row r="2" spans="1:27" ht="27" customHeight="1"/>
    <row r="3" spans="1:27" ht="24" customHeight="1">
      <c r="B3" s="2277" t="s">
        <v>707</v>
      </c>
      <c r="C3" s="2366"/>
      <c r="D3" s="2357" t="str">
        <f>IF(工事情報!G4="","",工事情報!G4)</f>
        <v/>
      </c>
      <c r="E3" s="2266"/>
      <c r="F3" s="2266"/>
      <c r="G3" s="2266"/>
      <c r="H3" s="2267"/>
    </row>
    <row r="4" spans="1:27" ht="30" customHeight="1"/>
    <row r="5" spans="1:27" s="285" customFormat="1" ht="17.25">
      <c r="B5" s="285" t="s">
        <v>360</v>
      </c>
      <c r="G5" s="288"/>
      <c r="K5" s="926"/>
      <c r="L5" s="926"/>
    </row>
    <row r="6" spans="1:27" ht="24" customHeight="1">
      <c r="B6" s="2497" t="s">
        <v>844</v>
      </c>
      <c r="C6" s="2498"/>
      <c r="D6" s="2498"/>
      <c r="E6" s="2498"/>
      <c r="F6" s="2498"/>
      <c r="G6" s="2499"/>
      <c r="K6" s="72"/>
      <c r="L6" s="72"/>
    </row>
    <row r="7" spans="1:27" ht="24" customHeight="1">
      <c r="B7" s="2500"/>
      <c r="C7" s="2501"/>
      <c r="D7" s="2501"/>
      <c r="E7" s="2501"/>
      <c r="F7" s="2501"/>
      <c r="G7" s="2502"/>
      <c r="K7" s="72"/>
      <c r="L7" s="72"/>
    </row>
    <row r="8" spans="1:27" ht="24" customHeight="1">
      <c r="B8" s="2503"/>
      <c r="C8" s="2504"/>
      <c r="D8" s="2504"/>
      <c r="E8" s="2504"/>
      <c r="F8" s="2504"/>
      <c r="G8" s="2505"/>
      <c r="K8" s="59"/>
      <c r="L8" s="72"/>
    </row>
    <row r="9" spans="1:27" s="280" customFormat="1" ht="30" customHeight="1">
      <c r="B9" s="280" t="s">
        <v>123</v>
      </c>
      <c r="C9" s="292"/>
      <c r="D9" s="292"/>
      <c r="G9" s="290"/>
      <c r="K9" s="290"/>
      <c r="L9" s="281"/>
    </row>
    <row r="10" spans="1:27" s="280" customFormat="1" ht="30" customHeight="1">
      <c r="C10" s="2553"/>
      <c r="D10" s="2554"/>
      <c r="E10" s="310"/>
      <c r="F10" s="2555"/>
      <c r="G10" s="2556"/>
      <c r="K10" s="290"/>
      <c r="L10" s="281"/>
    </row>
    <row r="11" spans="1:27" s="280" customFormat="1" ht="14.25">
      <c r="C11" s="292"/>
      <c r="D11" s="292"/>
      <c r="E11" s="292"/>
      <c r="F11" s="563"/>
      <c r="G11" s="290"/>
      <c r="H11" s="49"/>
      <c r="K11" s="281"/>
      <c r="L11" s="281"/>
    </row>
    <row r="12" spans="1:27" s="280" customFormat="1" ht="30" customHeight="1">
      <c r="B12" s="313" t="str">
        <f>IF(F10&lt;&gt;"行わない","以下の項目に答えてください。 ","以下の項目は、入力不要")</f>
        <v xml:space="preserve">以下の項目に答えてください。 </v>
      </c>
      <c r="E12" s="292"/>
      <c r="F12" s="563"/>
      <c r="G12" s="290"/>
      <c r="H12" s="49"/>
      <c r="K12" s="281"/>
      <c r="L12" s="281"/>
    </row>
    <row r="13" spans="1:27" s="280" customFormat="1" ht="30" customHeight="1">
      <c r="B13" s="280" t="s">
        <v>364</v>
      </c>
      <c r="C13" s="284"/>
      <c r="D13" s="284"/>
      <c r="E13" s="292"/>
      <c r="F13" s="563"/>
      <c r="G13" s="290"/>
      <c r="H13" s="49"/>
      <c r="K13" s="281"/>
      <c r="L13" s="281"/>
    </row>
    <row r="14" spans="1:27" s="280" customFormat="1" ht="30" customHeight="1">
      <c r="C14" s="309" t="s">
        <v>209</v>
      </c>
      <c r="D14" s="284"/>
      <c r="E14" s="292"/>
      <c r="F14" s="563"/>
      <c r="G14" s="290"/>
      <c r="H14" s="49"/>
      <c r="K14" s="281"/>
      <c r="L14" s="281"/>
    </row>
    <row r="15" spans="1:27" s="280" customFormat="1" ht="30" customHeight="1">
      <c r="B15" s="280" t="s">
        <v>363</v>
      </c>
      <c r="C15" s="309" t="s">
        <v>366</v>
      </c>
      <c r="D15" s="309"/>
      <c r="K15" s="281"/>
      <c r="L15" s="281"/>
    </row>
    <row r="16" spans="1:27" s="280" customFormat="1" ht="30" customHeight="1">
      <c r="C16" s="308"/>
      <c r="D16" s="308"/>
      <c r="E16" s="1014"/>
      <c r="F16" s="994"/>
      <c r="G16" s="995" t="s">
        <v>704</v>
      </c>
      <c r="H16" s="996"/>
      <c r="K16" s="281"/>
      <c r="L16" s="281"/>
      <c r="M16" s="281"/>
      <c r="N16" s="281"/>
      <c r="O16" s="281"/>
      <c r="P16" s="281"/>
      <c r="Q16" s="281"/>
      <c r="R16" s="281"/>
      <c r="S16" s="281"/>
      <c r="T16" s="281"/>
      <c r="U16" s="281"/>
      <c r="V16" s="281"/>
      <c r="W16" s="281"/>
      <c r="X16" s="281"/>
      <c r="Y16" s="281"/>
      <c r="Z16" s="281"/>
      <c r="AA16" s="281"/>
    </row>
    <row r="17" spans="1:27" s="284" customFormat="1" ht="30" customHeight="1">
      <c r="C17" s="308"/>
      <c r="D17" s="308"/>
      <c r="E17" s="1015"/>
      <c r="F17" s="997"/>
      <c r="G17" s="998" t="s">
        <v>705</v>
      </c>
      <c r="H17" s="999"/>
      <c r="I17" s="282"/>
      <c r="J17" s="282"/>
      <c r="K17" s="280"/>
    </row>
    <row r="18" spans="1:27" s="284" customFormat="1" ht="30" customHeight="1">
      <c r="C18" s="308"/>
      <c r="D18" s="308"/>
      <c r="E18" s="1015"/>
      <c r="F18" s="997"/>
      <c r="G18" s="998" t="s">
        <v>706</v>
      </c>
      <c r="H18" s="999"/>
      <c r="K18" s="280"/>
    </row>
    <row r="19" spans="1:27" s="280" customFormat="1" ht="30" customHeight="1">
      <c r="C19" s="308"/>
      <c r="D19" s="308"/>
      <c r="E19" s="1016"/>
      <c r="F19" s="1000"/>
      <c r="G19" s="2552" t="s">
        <v>584</v>
      </c>
      <c r="H19" s="2255"/>
      <c r="I19" s="281"/>
      <c r="J19" s="281"/>
      <c r="L19" s="281"/>
      <c r="M19" s="282"/>
      <c r="N19" s="281"/>
      <c r="O19" s="281"/>
      <c r="P19" s="281"/>
      <c r="Q19" s="281"/>
      <c r="R19" s="281"/>
      <c r="S19" s="281"/>
      <c r="T19" s="281"/>
      <c r="U19" s="281"/>
      <c r="V19" s="281"/>
      <c r="W19" s="281"/>
      <c r="X19" s="281"/>
      <c r="Y19" s="281"/>
      <c r="Z19" s="281"/>
    </row>
    <row r="20" spans="1:27" s="280" customFormat="1" ht="8.25" customHeight="1">
      <c r="C20" s="308"/>
      <c r="D20" s="308"/>
      <c r="E20"/>
      <c r="F20"/>
      <c r="G20"/>
      <c r="I20" s="281"/>
      <c r="J20" s="281"/>
      <c r="L20" s="281"/>
      <c r="M20" s="282"/>
      <c r="N20" s="281"/>
      <c r="O20" s="281"/>
      <c r="P20" s="281"/>
      <c r="Q20" s="281"/>
      <c r="R20" s="281"/>
      <c r="S20" s="281"/>
      <c r="T20" s="281"/>
      <c r="U20" s="281"/>
      <c r="V20" s="281"/>
      <c r="W20" s="281"/>
      <c r="X20" s="281"/>
      <c r="Y20" s="281"/>
      <c r="Z20" s="281"/>
    </row>
    <row r="21" spans="1:27" s="280" customFormat="1" ht="44.25" customHeight="1">
      <c r="B21" s="289"/>
      <c r="C21" s="311"/>
      <c r="D21" s="312"/>
      <c r="E21" s="1017"/>
      <c r="F21" s="2549"/>
      <c r="G21" s="2550"/>
      <c r="H21" s="2551"/>
      <c r="I21" s="281"/>
      <c r="J21" s="281"/>
      <c r="L21" s="281"/>
      <c r="M21" s="282"/>
      <c r="N21" s="281"/>
      <c r="O21" s="281"/>
      <c r="P21" s="281"/>
      <c r="Q21" s="281"/>
      <c r="R21" s="281"/>
      <c r="S21" s="281"/>
      <c r="T21" s="281"/>
      <c r="U21" s="281"/>
      <c r="V21" s="281"/>
      <c r="W21" s="281"/>
      <c r="X21" s="281"/>
      <c r="Y21" s="281"/>
      <c r="Z21" s="281"/>
    </row>
    <row r="23" spans="1:27" s="280" customFormat="1" ht="14.25">
      <c r="G23" s="289"/>
      <c r="I23" s="281"/>
      <c r="J23" s="281"/>
      <c r="L23" s="281"/>
      <c r="M23" s="282"/>
      <c r="N23" s="281"/>
      <c r="O23" s="281"/>
      <c r="P23" s="281"/>
      <c r="Q23" s="281"/>
      <c r="R23" s="281"/>
      <c r="S23" s="281"/>
      <c r="T23" s="281"/>
      <c r="U23" s="281"/>
      <c r="V23" s="281"/>
      <c r="W23" s="281"/>
      <c r="X23" s="281"/>
      <c r="Y23" s="281"/>
      <c r="Z23" s="281"/>
    </row>
    <row r="24" spans="1:27">
      <c r="C24" s="284"/>
      <c r="D24" s="284"/>
      <c r="E24" s="284"/>
    </row>
    <row r="25" spans="1:27">
      <c r="C25" s="284"/>
      <c r="D25" s="284"/>
      <c r="E25" s="284"/>
    </row>
    <row r="26" spans="1:27">
      <c r="C26" s="284"/>
      <c r="D26" s="284"/>
      <c r="E26" s="284"/>
    </row>
    <row r="30" spans="1:27" ht="13.5">
      <c r="A30" s="269"/>
      <c r="B30" s="269"/>
      <c r="C30" s="269"/>
      <c r="D30" s="269"/>
      <c r="E30" s="269"/>
      <c r="F30" s="269"/>
      <c r="G30" s="307"/>
      <c r="H30" s="269"/>
      <c r="I30" s="269"/>
      <c r="J30" s="269"/>
      <c r="K30" s="269"/>
      <c r="L30" s="269"/>
      <c r="M30" s="269"/>
      <c r="N30" s="269"/>
      <c r="O30" s="269"/>
      <c r="P30" s="269"/>
      <c r="Q30" s="269"/>
      <c r="R30" s="269"/>
      <c r="S30" s="269"/>
      <c r="T30" s="269"/>
      <c r="U30" s="269"/>
      <c r="V30" s="269"/>
      <c r="W30" s="269"/>
      <c r="X30" s="269"/>
      <c r="Y30" s="269"/>
      <c r="Z30" s="269"/>
      <c r="AA30" s="269"/>
    </row>
    <row r="31" spans="1:27" ht="13.5">
      <c r="A31" s="269"/>
      <c r="B31" s="269"/>
      <c r="C31" s="269"/>
      <c r="D31" s="269"/>
      <c r="E31" s="269"/>
      <c r="F31" s="269"/>
      <c r="G31" s="307"/>
      <c r="H31" s="269"/>
      <c r="I31" s="269"/>
      <c r="J31" s="269"/>
      <c r="K31" s="269"/>
      <c r="L31" s="269"/>
      <c r="M31" s="269"/>
      <c r="N31" s="269"/>
      <c r="O31" s="269"/>
      <c r="P31" s="269"/>
      <c r="Q31" s="269"/>
      <c r="R31" s="269"/>
      <c r="S31" s="269"/>
      <c r="T31" s="269"/>
      <c r="U31" s="269"/>
      <c r="V31" s="269"/>
      <c r="W31" s="269"/>
      <c r="X31" s="269"/>
      <c r="Y31" s="269"/>
      <c r="Z31" s="269"/>
      <c r="AA31" s="269"/>
    </row>
    <row r="32" spans="1:27" ht="13.5">
      <c r="A32" s="269"/>
      <c r="B32" s="269"/>
      <c r="C32" s="269"/>
      <c r="D32" s="269"/>
      <c r="E32" s="269"/>
      <c r="F32" s="269"/>
      <c r="G32" s="307"/>
      <c r="H32" s="269"/>
      <c r="I32" s="269"/>
      <c r="J32" s="269"/>
      <c r="K32" s="269"/>
      <c r="L32" s="269"/>
      <c r="M32" s="269"/>
      <c r="N32" s="269"/>
      <c r="O32" s="269"/>
      <c r="P32" s="269"/>
      <c r="Q32" s="269"/>
      <c r="R32" s="269"/>
      <c r="S32" s="269"/>
      <c r="T32" s="269"/>
      <c r="U32" s="269"/>
      <c r="V32" s="269"/>
      <c r="W32" s="269"/>
      <c r="X32" s="269"/>
      <c r="Y32" s="269"/>
      <c r="Z32" s="269"/>
      <c r="AA32" s="269"/>
    </row>
    <row r="33" spans="1:27" ht="13.5">
      <c r="A33" s="269"/>
      <c r="B33" s="269"/>
      <c r="C33" s="269"/>
      <c r="D33" s="269"/>
      <c r="E33" s="269"/>
      <c r="F33" s="269"/>
      <c r="G33" s="307"/>
      <c r="H33" s="269"/>
      <c r="I33" s="269"/>
      <c r="J33" s="269"/>
      <c r="K33" s="269"/>
      <c r="L33" s="269"/>
      <c r="M33" s="269"/>
      <c r="N33" s="269"/>
      <c r="O33" s="269"/>
      <c r="P33" s="269"/>
      <c r="Q33" s="269"/>
      <c r="R33" s="269"/>
      <c r="S33" s="269"/>
      <c r="T33" s="269"/>
      <c r="U33" s="269"/>
      <c r="V33" s="269"/>
      <c r="W33" s="269"/>
      <c r="X33" s="269"/>
      <c r="Y33" s="269"/>
      <c r="Z33" s="269"/>
      <c r="AA33" s="269"/>
    </row>
    <row r="34" spans="1:27" ht="13.5">
      <c r="A34" s="269"/>
      <c r="B34" s="269"/>
      <c r="C34" s="269"/>
      <c r="D34" s="269"/>
      <c r="E34" s="269"/>
      <c r="F34" s="269"/>
      <c r="G34" s="307"/>
      <c r="H34" s="269"/>
      <c r="I34" s="269"/>
      <c r="J34" s="269"/>
      <c r="K34" s="269"/>
      <c r="L34" s="269"/>
      <c r="M34" s="269"/>
      <c r="N34" s="269"/>
      <c r="O34" s="269"/>
      <c r="P34" s="269"/>
      <c r="Q34" s="269"/>
      <c r="R34" s="269"/>
      <c r="S34" s="269"/>
      <c r="T34" s="269"/>
      <c r="U34" s="269"/>
      <c r="V34" s="269"/>
      <c r="W34" s="269"/>
      <c r="X34" s="269"/>
      <c r="Y34" s="269"/>
      <c r="Z34" s="269"/>
      <c r="AA34" s="269"/>
    </row>
    <row r="35" spans="1:27" ht="13.5">
      <c r="A35" s="269"/>
      <c r="B35" s="269"/>
      <c r="C35" s="269"/>
      <c r="D35" s="269"/>
      <c r="E35" s="269"/>
      <c r="F35" s="269"/>
      <c r="G35" s="307"/>
      <c r="H35" s="269"/>
      <c r="I35" s="269"/>
      <c r="J35" s="269"/>
      <c r="K35" s="269"/>
      <c r="L35" s="269"/>
      <c r="M35" s="269"/>
      <c r="N35" s="269"/>
      <c r="O35" s="269"/>
      <c r="P35" s="269"/>
      <c r="Q35" s="269"/>
      <c r="R35" s="269"/>
      <c r="S35" s="269"/>
      <c r="T35" s="269"/>
      <c r="U35" s="269"/>
      <c r="V35" s="269"/>
      <c r="W35" s="269"/>
      <c r="X35" s="269"/>
      <c r="Y35" s="269"/>
      <c r="Z35" s="269"/>
      <c r="AA35" s="269"/>
    </row>
    <row r="36" spans="1:27" ht="13.5">
      <c r="A36" s="269"/>
      <c r="B36" s="269"/>
      <c r="C36" s="269"/>
      <c r="D36" s="269"/>
      <c r="E36" s="269"/>
      <c r="F36" s="269"/>
      <c r="G36" s="307"/>
      <c r="H36" s="269"/>
      <c r="I36" s="269"/>
      <c r="J36" s="269"/>
      <c r="K36" s="269"/>
      <c r="L36" s="269"/>
      <c r="M36" s="269"/>
      <c r="N36" s="269"/>
      <c r="O36" s="269"/>
      <c r="P36" s="269"/>
      <c r="Q36" s="269"/>
      <c r="R36" s="269"/>
      <c r="S36" s="269"/>
      <c r="T36" s="269"/>
      <c r="U36" s="269"/>
      <c r="V36" s="269"/>
      <c r="W36" s="269"/>
      <c r="X36" s="269"/>
      <c r="Y36" s="269"/>
      <c r="Z36" s="269"/>
      <c r="AA36" s="269"/>
    </row>
    <row r="37" spans="1:27" ht="13.5">
      <c r="A37" s="269"/>
      <c r="B37" s="269"/>
      <c r="C37" s="269"/>
      <c r="D37" s="269"/>
      <c r="E37" s="269"/>
      <c r="F37" s="269"/>
      <c r="G37" s="307"/>
      <c r="H37" s="269"/>
      <c r="I37" s="269"/>
      <c r="J37" s="269"/>
      <c r="K37" s="269"/>
      <c r="L37" s="269"/>
      <c r="M37" s="269"/>
      <c r="N37" s="269"/>
      <c r="O37" s="269"/>
      <c r="P37" s="269"/>
      <c r="Q37" s="269"/>
      <c r="R37" s="269"/>
      <c r="S37" s="269"/>
      <c r="T37" s="269"/>
      <c r="U37" s="269"/>
      <c r="V37" s="269"/>
      <c r="W37" s="269"/>
      <c r="X37" s="269"/>
      <c r="Y37" s="269"/>
      <c r="Z37" s="269"/>
      <c r="AA37" s="269"/>
    </row>
    <row r="38" spans="1:27" ht="13.5">
      <c r="A38" s="269"/>
      <c r="B38" s="269"/>
      <c r="C38" s="269"/>
      <c r="D38" s="269"/>
      <c r="E38" s="269"/>
      <c r="F38" s="269"/>
      <c r="G38" s="307"/>
      <c r="H38" s="269"/>
      <c r="I38" s="269"/>
      <c r="J38" s="269"/>
      <c r="K38" s="269"/>
      <c r="L38" s="269"/>
      <c r="M38" s="269"/>
      <c r="N38" s="269"/>
      <c r="O38" s="269"/>
      <c r="P38" s="269"/>
      <c r="Q38" s="269"/>
      <c r="R38" s="269"/>
      <c r="S38" s="269"/>
      <c r="T38" s="269"/>
      <c r="U38" s="269"/>
      <c r="V38" s="269"/>
      <c r="W38" s="269"/>
      <c r="X38" s="269"/>
      <c r="Y38" s="269"/>
      <c r="Z38" s="269"/>
      <c r="AA38" s="269"/>
    </row>
    <row r="39" spans="1:27" ht="13.5">
      <c r="A39" s="269"/>
      <c r="B39" s="269"/>
      <c r="C39" s="269"/>
      <c r="D39" s="269"/>
      <c r="E39" s="269"/>
      <c r="F39" s="269"/>
      <c r="G39" s="307"/>
      <c r="H39" s="269"/>
      <c r="I39" s="269"/>
      <c r="J39" s="269"/>
      <c r="K39" s="269"/>
      <c r="L39" s="269"/>
      <c r="M39" s="269"/>
      <c r="N39" s="269"/>
      <c r="O39" s="269"/>
      <c r="P39" s="269"/>
      <c r="Q39" s="269"/>
      <c r="R39" s="269"/>
      <c r="S39" s="269"/>
      <c r="T39" s="269"/>
      <c r="U39" s="269"/>
      <c r="V39" s="269"/>
      <c r="W39" s="269"/>
      <c r="X39" s="269"/>
      <c r="Y39" s="269"/>
      <c r="Z39" s="269"/>
      <c r="AA39" s="269"/>
    </row>
    <row r="40" spans="1:27" ht="13.5">
      <c r="A40" s="269"/>
      <c r="B40" s="269"/>
      <c r="C40" s="269"/>
      <c r="D40" s="269"/>
      <c r="E40" s="269"/>
      <c r="F40" s="269"/>
      <c r="G40" s="307"/>
      <c r="H40" s="269"/>
      <c r="I40" s="269"/>
      <c r="J40" s="269"/>
      <c r="K40" s="269"/>
      <c r="L40" s="269"/>
      <c r="M40" s="269"/>
      <c r="N40" s="269"/>
      <c r="O40" s="269"/>
      <c r="P40" s="269"/>
      <c r="Q40" s="269"/>
      <c r="R40" s="269"/>
      <c r="S40" s="269"/>
      <c r="T40" s="269"/>
      <c r="U40" s="269"/>
      <c r="V40" s="269"/>
      <c r="W40" s="269"/>
      <c r="X40" s="269"/>
      <c r="Y40" s="269"/>
      <c r="Z40" s="269"/>
      <c r="AA40" s="269"/>
    </row>
    <row r="41" spans="1:27" ht="13.5">
      <c r="A41" s="269"/>
      <c r="B41" s="269"/>
      <c r="C41" s="269"/>
      <c r="D41" s="269"/>
      <c r="E41" s="269"/>
      <c r="F41" s="269"/>
      <c r="G41" s="307"/>
      <c r="H41" s="269"/>
      <c r="I41" s="269"/>
      <c r="J41" s="269"/>
      <c r="K41" s="269"/>
      <c r="L41" s="269"/>
      <c r="M41" s="269"/>
      <c r="N41" s="269"/>
      <c r="O41" s="269"/>
      <c r="P41" s="269"/>
      <c r="Q41" s="269"/>
      <c r="R41" s="269"/>
      <c r="S41" s="269"/>
      <c r="T41" s="269"/>
      <c r="U41" s="269"/>
      <c r="V41" s="269"/>
      <c r="W41" s="269"/>
      <c r="X41" s="269"/>
      <c r="Y41" s="269"/>
      <c r="Z41" s="269"/>
      <c r="AA41" s="269"/>
    </row>
    <row r="42" spans="1:27" ht="13.5">
      <c r="A42" s="269"/>
      <c r="B42" s="269"/>
      <c r="C42" s="269"/>
      <c r="D42" s="269"/>
      <c r="E42" s="269"/>
      <c r="F42" s="269"/>
      <c r="G42" s="307"/>
      <c r="H42" s="269"/>
      <c r="I42" s="269"/>
      <c r="J42" s="269"/>
      <c r="K42" s="269"/>
      <c r="L42" s="269"/>
      <c r="M42" s="269"/>
      <c r="N42" s="269"/>
      <c r="O42" s="269"/>
      <c r="P42" s="269"/>
      <c r="Q42" s="269"/>
      <c r="R42" s="269"/>
      <c r="S42" s="269"/>
      <c r="T42" s="269"/>
      <c r="U42" s="269"/>
      <c r="V42" s="269"/>
      <c r="W42" s="269"/>
      <c r="X42" s="269"/>
      <c r="Y42" s="269"/>
      <c r="Z42" s="269"/>
      <c r="AA42" s="269"/>
    </row>
    <row r="43" spans="1:27" ht="13.5">
      <c r="A43" s="269"/>
      <c r="B43" s="269"/>
      <c r="C43" s="269"/>
      <c r="D43" s="269"/>
      <c r="E43" s="269"/>
      <c r="F43" s="269"/>
      <c r="G43" s="307"/>
      <c r="H43" s="269"/>
      <c r="I43" s="269"/>
      <c r="J43" s="269"/>
      <c r="K43" s="269"/>
      <c r="L43" s="269"/>
      <c r="M43" s="269"/>
      <c r="N43" s="269"/>
      <c r="O43" s="269"/>
      <c r="P43" s="269"/>
      <c r="Q43" s="269"/>
      <c r="R43" s="269"/>
      <c r="S43" s="269"/>
      <c r="T43" s="269"/>
      <c r="U43" s="269"/>
      <c r="V43" s="269"/>
      <c r="W43" s="269"/>
      <c r="X43" s="269"/>
      <c r="Y43" s="269"/>
      <c r="Z43" s="269"/>
      <c r="AA43" s="269"/>
    </row>
    <row r="44" spans="1:27" ht="13.5">
      <c r="A44" s="269"/>
      <c r="B44" s="269"/>
      <c r="C44" s="269"/>
      <c r="D44" s="269"/>
      <c r="E44" s="269"/>
      <c r="F44" s="269"/>
      <c r="G44" s="307"/>
      <c r="H44" s="269"/>
      <c r="I44" s="269"/>
      <c r="J44" s="269"/>
      <c r="K44" s="269"/>
      <c r="L44" s="269"/>
      <c r="M44" s="269"/>
      <c r="N44" s="269"/>
      <c r="O44" s="269"/>
      <c r="P44" s="269"/>
      <c r="Q44" s="269"/>
      <c r="R44" s="269"/>
      <c r="S44" s="269"/>
      <c r="T44" s="269"/>
      <c r="U44" s="269"/>
      <c r="V44" s="269"/>
      <c r="W44" s="269"/>
      <c r="X44" s="269"/>
      <c r="Y44" s="269"/>
      <c r="Z44" s="269"/>
      <c r="AA44" s="269"/>
    </row>
    <row r="45" spans="1:27" ht="13.5">
      <c r="A45" s="269"/>
      <c r="B45" s="269"/>
      <c r="C45" s="269"/>
      <c r="D45" s="269"/>
      <c r="E45" s="269"/>
      <c r="F45" s="269"/>
      <c r="G45" s="307"/>
      <c r="H45" s="269"/>
      <c r="I45" s="269"/>
      <c r="J45" s="269"/>
      <c r="K45" s="269"/>
      <c r="L45" s="269"/>
      <c r="M45" s="269"/>
      <c r="N45" s="269"/>
      <c r="O45" s="269"/>
      <c r="P45" s="269"/>
      <c r="Q45" s="269"/>
      <c r="R45" s="269"/>
      <c r="S45" s="269"/>
      <c r="T45" s="269"/>
      <c r="U45" s="269"/>
      <c r="V45" s="269"/>
      <c r="W45" s="269"/>
      <c r="X45" s="269"/>
      <c r="Y45" s="269"/>
      <c r="Z45" s="269"/>
      <c r="AA45" s="269"/>
    </row>
    <row r="46" spans="1:27" ht="13.5">
      <c r="A46" s="269"/>
      <c r="B46" s="269"/>
      <c r="C46" s="269"/>
      <c r="D46" s="269"/>
      <c r="E46" s="269"/>
      <c r="F46" s="269"/>
      <c r="G46" s="307"/>
      <c r="H46" s="269"/>
      <c r="I46" s="269"/>
      <c r="J46" s="269"/>
      <c r="K46" s="269"/>
      <c r="L46" s="269"/>
      <c r="M46" s="269"/>
      <c r="N46" s="269"/>
      <c r="O46" s="269"/>
      <c r="P46" s="269"/>
      <c r="Q46" s="269"/>
      <c r="R46" s="269"/>
      <c r="S46" s="269"/>
      <c r="T46" s="269"/>
      <c r="U46" s="269"/>
      <c r="V46" s="269"/>
      <c r="W46" s="269"/>
      <c r="X46" s="269"/>
      <c r="Y46" s="269"/>
      <c r="Z46" s="269"/>
      <c r="AA46" s="269"/>
    </row>
    <row r="47" spans="1:27" ht="13.5">
      <c r="A47" s="269"/>
      <c r="B47" s="269"/>
      <c r="C47" s="269"/>
      <c r="D47" s="269"/>
      <c r="E47" s="269"/>
      <c r="F47" s="269"/>
      <c r="G47" s="307"/>
      <c r="H47" s="269"/>
      <c r="I47" s="269"/>
      <c r="J47" s="269"/>
      <c r="K47" s="269"/>
      <c r="L47" s="269"/>
      <c r="M47" s="269"/>
      <c r="N47" s="269"/>
      <c r="O47" s="269"/>
      <c r="P47" s="269"/>
      <c r="Q47" s="269"/>
      <c r="R47" s="269"/>
      <c r="S47" s="269"/>
      <c r="T47" s="269"/>
      <c r="U47" s="269"/>
      <c r="V47" s="269"/>
      <c r="W47" s="269"/>
      <c r="X47" s="269"/>
      <c r="Y47" s="269"/>
      <c r="Z47" s="269"/>
      <c r="AA47" s="269"/>
    </row>
    <row r="48" spans="1:27" ht="13.5">
      <c r="A48" s="269"/>
      <c r="B48" s="269"/>
      <c r="C48" s="269"/>
      <c r="D48" s="269"/>
      <c r="E48" s="269"/>
      <c r="F48" s="269"/>
      <c r="G48" s="307"/>
      <c r="H48" s="269"/>
      <c r="I48" s="269"/>
      <c r="J48" s="269"/>
      <c r="K48" s="269"/>
      <c r="L48" s="269"/>
      <c r="M48" s="269"/>
      <c r="N48" s="269"/>
      <c r="O48" s="269"/>
      <c r="P48" s="269"/>
      <c r="Q48" s="269"/>
      <c r="R48" s="269"/>
      <c r="S48" s="269"/>
      <c r="T48" s="269"/>
      <c r="U48" s="269"/>
      <c r="V48" s="269"/>
      <c r="W48" s="269"/>
      <c r="X48" s="269"/>
      <c r="Y48" s="269"/>
      <c r="Z48" s="269"/>
      <c r="AA48" s="269"/>
    </row>
    <row r="49" spans="1:27" ht="13.5">
      <c r="A49" s="269"/>
      <c r="B49" s="269"/>
      <c r="C49" s="269"/>
      <c r="D49" s="269"/>
      <c r="E49" s="269"/>
      <c r="F49" s="269"/>
      <c r="G49" s="307"/>
      <c r="H49" s="269"/>
      <c r="I49" s="269"/>
      <c r="J49" s="269"/>
      <c r="K49" s="269"/>
      <c r="L49" s="269"/>
      <c r="M49" s="269"/>
      <c r="N49" s="269"/>
      <c r="O49" s="269"/>
      <c r="P49" s="269"/>
      <c r="Q49" s="269"/>
      <c r="R49" s="269"/>
      <c r="S49" s="269"/>
      <c r="T49" s="269"/>
      <c r="U49" s="269"/>
      <c r="V49" s="269"/>
      <c r="W49" s="269"/>
      <c r="X49" s="269"/>
      <c r="Y49" s="269"/>
      <c r="Z49" s="269"/>
      <c r="AA49" s="269"/>
    </row>
    <row r="50" spans="1:27" ht="13.5">
      <c r="A50" s="269"/>
      <c r="B50" s="269"/>
      <c r="C50" s="269"/>
      <c r="D50" s="269"/>
      <c r="E50" s="269"/>
      <c r="F50" s="269"/>
      <c r="G50" s="307"/>
      <c r="H50" s="269"/>
      <c r="I50" s="269"/>
      <c r="J50" s="269"/>
      <c r="K50" s="269"/>
      <c r="L50" s="269"/>
      <c r="M50" s="269"/>
      <c r="N50" s="269"/>
      <c r="O50" s="269"/>
      <c r="P50" s="269"/>
      <c r="Q50" s="269"/>
      <c r="R50" s="269"/>
      <c r="S50" s="269"/>
      <c r="T50" s="269"/>
      <c r="U50" s="269"/>
      <c r="V50" s="269"/>
      <c r="W50" s="269"/>
      <c r="X50" s="269"/>
      <c r="Y50" s="269"/>
      <c r="Z50" s="269"/>
      <c r="AA50" s="269"/>
    </row>
    <row r="51" spans="1:27" ht="13.5">
      <c r="A51" s="269"/>
      <c r="B51" s="269"/>
      <c r="C51" s="269"/>
      <c r="D51" s="269"/>
      <c r="E51" s="269"/>
      <c r="F51" s="269"/>
      <c r="G51" s="307"/>
      <c r="H51" s="269"/>
      <c r="I51" s="269"/>
      <c r="J51" s="269"/>
      <c r="K51" s="269"/>
      <c r="L51" s="269"/>
      <c r="M51" s="269"/>
      <c r="N51" s="269"/>
      <c r="O51" s="269"/>
      <c r="P51" s="269"/>
      <c r="Q51" s="269"/>
      <c r="R51" s="269"/>
      <c r="S51" s="269"/>
      <c r="T51" s="269"/>
      <c r="U51" s="269"/>
      <c r="V51" s="269"/>
      <c r="W51" s="269"/>
      <c r="X51" s="269"/>
      <c r="Y51" s="269"/>
      <c r="Z51" s="269"/>
      <c r="AA51" s="269"/>
    </row>
    <row r="52" spans="1:27" ht="13.5">
      <c r="A52" s="269"/>
      <c r="B52" s="269"/>
      <c r="C52" s="269"/>
      <c r="D52" s="269"/>
      <c r="E52" s="269"/>
      <c r="F52" s="269"/>
      <c r="G52" s="307"/>
      <c r="H52" s="269"/>
      <c r="I52" s="269"/>
      <c r="J52" s="269"/>
      <c r="K52" s="269"/>
      <c r="L52" s="269"/>
      <c r="M52" s="269"/>
      <c r="N52" s="269"/>
      <c r="O52" s="269"/>
      <c r="P52" s="269"/>
      <c r="Q52" s="269"/>
      <c r="R52" s="269"/>
      <c r="S52" s="269"/>
      <c r="T52" s="269"/>
      <c r="U52" s="269"/>
      <c r="V52" s="269"/>
      <c r="W52" s="269"/>
      <c r="X52" s="269"/>
      <c r="Y52" s="269"/>
      <c r="Z52" s="269"/>
      <c r="AA52" s="269"/>
    </row>
    <row r="53" spans="1:27" ht="13.5">
      <c r="A53" s="269"/>
      <c r="B53" s="269"/>
      <c r="C53" s="269"/>
      <c r="D53" s="269"/>
      <c r="E53" s="269"/>
      <c r="F53" s="269"/>
      <c r="G53" s="307"/>
      <c r="H53" s="269"/>
      <c r="I53" s="269"/>
      <c r="J53" s="269"/>
      <c r="K53" s="269"/>
      <c r="L53" s="269"/>
      <c r="M53" s="269"/>
      <c r="N53" s="269"/>
      <c r="O53" s="269"/>
      <c r="P53" s="269"/>
      <c r="Q53" s="269"/>
      <c r="R53" s="269"/>
      <c r="S53" s="269"/>
      <c r="T53" s="269"/>
      <c r="U53" s="269"/>
      <c r="V53" s="269"/>
      <c r="W53" s="269"/>
      <c r="X53" s="269"/>
      <c r="Y53" s="269"/>
      <c r="Z53" s="269"/>
      <c r="AA53" s="269"/>
    </row>
    <row r="54" spans="1:27" ht="13.5">
      <c r="A54" s="269"/>
      <c r="B54" s="269"/>
      <c r="C54" s="269"/>
      <c r="D54" s="269"/>
      <c r="E54" s="269"/>
      <c r="F54" s="269"/>
      <c r="G54" s="307"/>
      <c r="H54" s="269"/>
      <c r="I54" s="269"/>
      <c r="J54" s="269"/>
      <c r="K54" s="269"/>
      <c r="L54" s="269"/>
      <c r="M54" s="269"/>
      <c r="N54" s="269"/>
      <c r="O54" s="269"/>
      <c r="P54" s="269"/>
      <c r="Q54" s="269"/>
      <c r="R54" s="269"/>
      <c r="S54" s="269"/>
      <c r="T54" s="269"/>
      <c r="U54" s="269"/>
      <c r="V54" s="269"/>
      <c r="W54" s="269"/>
      <c r="X54" s="269"/>
      <c r="Y54" s="269"/>
      <c r="Z54" s="269"/>
      <c r="AA54" s="269"/>
    </row>
    <row r="55" spans="1:27" ht="13.5">
      <c r="A55" s="269"/>
      <c r="B55" s="269"/>
      <c r="C55" s="269"/>
      <c r="D55" s="269"/>
      <c r="E55" s="269"/>
      <c r="F55" s="269"/>
      <c r="G55" s="307"/>
      <c r="H55" s="269"/>
      <c r="I55" s="269"/>
      <c r="J55" s="269"/>
      <c r="K55" s="269"/>
      <c r="L55" s="269"/>
      <c r="M55" s="269"/>
      <c r="N55" s="269"/>
      <c r="O55" s="269"/>
      <c r="P55" s="269"/>
      <c r="Q55" s="269"/>
      <c r="R55" s="269"/>
      <c r="S55" s="269"/>
      <c r="T55" s="269"/>
      <c r="U55" s="269"/>
      <c r="V55" s="269"/>
      <c r="W55" s="269"/>
      <c r="X55" s="269"/>
      <c r="Y55" s="269"/>
      <c r="Z55" s="269"/>
      <c r="AA55" s="269"/>
    </row>
    <row r="56" spans="1:27" ht="13.5">
      <c r="A56" s="269"/>
      <c r="B56" s="269"/>
      <c r="C56" s="269"/>
      <c r="D56" s="269"/>
      <c r="E56" s="269"/>
      <c r="F56" s="269"/>
      <c r="G56" s="307"/>
      <c r="H56" s="269"/>
      <c r="I56" s="269"/>
      <c r="J56" s="269"/>
      <c r="K56" s="269"/>
      <c r="L56" s="269"/>
      <c r="M56" s="269"/>
      <c r="N56" s="269"/>
      <c r="O56" s="269"/>
      <c r="P56" s="269"/>
      <c r="Q56" s="269"/>
      <c r="R56" s="269"/>
      <c r="S56" s="269"/>
      <c r="T56" s="269"/>
      <c r="U56" s="269"/>
      <c r="V56" s="269"/>
      <c r="W56" s="269"/>
      <c r="X56" s="269"/>
      <c r="Y56" s="269"/>
      <c r="Z56" s="269"/>
      <c r="AA56" s="269"/>
    </row>
    <row r="57" spans="1:27" ht="13.5">
      <c r="A57" s="269"/>
      <c r="B57" s="269"/>
      <c r="C57" s="269"/>
      <c r="D57" s="269"/>
      <c r="E57" s="269"/>
      <c r="F57" s="269"/>
      <c r="G57" s="307"/>
      <c r="H57" s="269"/>
      <c r="I57" s="269"/>
      <c r="J57" s="269"/>
      <c r="K57" s="269"/>
      <c r="L57" s="269"/>
      <c r="M57" s="269"/>
      <c r="N57" s="269"/>
      <c r="O57" s="269"/>
      <c r="P57" s="269"/>
      <c r="Q57" s="269"/>
      <c r="R57" s="269"/>
      <c r="S57" s="269"/>
      <c r="T57" s="269"/>
      <c r="U57" s="269"/>
      <c r="V57" s="269"/>
      <c r="W57" s="269"/>
      <c r="X57" s="269"/>
      <c r="Y57" s="269"/>
      <c r="Z57" s="269"/>
      <c r="AA57" s="269"/>
    </row>
    <row r="58" spans="1:27" ht="13.5">
      <c r="A58" s="269"/>
      <c r="B58" s="269"/>
      <c r="C58" s="269"/>
      <c r="D58" s="269"/>
      <c r="E58" s="269"/>
      <c r="F58" s="269"/>
      <c r="G58" s="307"/>
      <c r="H58" s="269"/>
      <c r="I58" s="269"/>
      <c r="J58" s="269"/>
      <c r="K58" s="269"/>
      <c r="L58" s="269"/>
      <c r="M58" s="269"/>
      <c r="N58" s="269"/>
      <c r="O58" s="269"/>
      <c r="P58" s="269"/>
      <c r="Q58" s="269"/>
      <c r="R58" s="269"/>
      <c r="S58" s="269"/>
      <c r="T58" s="269"/>
      <c r="U58" s="269"/>
      <c r="V58" s="269"/>
      <c r="W58" s="269"/>
      <c r="X58" s="269"/>
      <c r="Y58" s="269"/>
      <c r="Z58" s="269"/>
      <c r="AA58" s="269"/>
    </row>
    <row r="59" spans="1:27" ht="13.5">
      <c r="A59" s="269"/>
      <c r="B59" s="269"/>
      <c r="C59" s="269"/>
      <c r="D59" s="269"/>
      <c r="E59" s="269"/>
      <c r="F59" s="269"/>
      <c r="G59" s="307"/>
      <c r="H59" s="269"/>
      <c r="I59" s="269"/>
      <c r="J59" s="269"/>
      <c r="K59" s="269"/>
      <c r="L59" s="269"/>
      <c r="M59" s="269"/>
      <c r="N59" s="269"/>
      <c r="O59" s="269"/>
      <c r="P59" s="269"/>
      <c r="Q59" s="269"/>
      <c r="R59" s="269"/>
      <c r="S59" s="269"/>
      <c r="T59" s="269"/>
      <c r="U59" s="269"/>
      <c r="V59" s="269"/>
      <c r="W59" s="269"/>
      <c r="X59" s="269"/>
      <c r="Y59" s="269"/>
      <c r="Z59" s="269"/>
      <c r="AA59" s="269"/>
    </row>
    <row r="60" spans="1:27" ht="13.5">
      <c r="A60" s="269"/>
      <c r="B60" s="269"/>
      <c r="C60" s="269"/>
      <c r="D60" s="269"/>
      <c r="E60" s="269"/>
      <c r="F60" s="269"/>
      <c r="G60" s="307"/>
      <c r="H60" s="269"/>
      <c r="I60" s="269"/>
      <c r="J60" s="269"/>
      <c r="K60" s="269"/>
      <c r="L60" s="269"/>
      <c r="M60" s="269"/>
      <c r="N60" s="269"/>
      <c r="O60" s="269"/>
      <c r="P60" s="269"/>
      <c r="Q60" s="269"/>
      <c r="R60" s="269"/>
      <c r="S60" s="269"/>
      <c r="T60" s="269"/>
      <c r="U60" s="269"/>
      <c r="V60" s="269"/>
      <c r="W60" s="269"/>
      <c r="X60" s="269"/>
      <c r="Y60" s="269"/>
      <c r="Z60" s="269"/>
      <c r="AA60" s="269"/>
    </row>
    <row r="61" spans="1:27" ht="13.5">
      <c r="A61" s="269"/>
      <c r="B61" s="269"/>
      <c r="C61" s="269"/>
      <c r="D61" s="269"/>
      <c r="E61" s="269"/>
      <c r="F61" s="269"/>
      <c r="G61" s="307"/>
      <c r="H61" s="269"/>
      <c r="I61" s="269"/>
      <c r="J61" s="269"/>
      <c r="K61" s="269"/>
      <c r="L61" s="269"/>
      <c r="M61" s="269"/>
      <c r="N61" s="269"/>
      <c r="O61" s="269"/>
      <c r="P61" s="269"/>
      <c r="Q61" s="269"/>
      <c r="R61" s="269"/>
      <c r="S61" s="269"/>
      <c r="T61" s="269"/>
      <c r="U61" s="269"/>
      <c r="V61" s="269"/>
      <c r="W61" s="269"/>
      <c r="X61" s="269"/>
      <c r="Y61" s="269"/>
      <c r="Z61" s="269"/>
      <c r="AA61" s="269"/>
    </row>
    <row r="62" spans="1:27" ht="13.5">
      <c r="A62" s="269"/>
      <c r="B62" s="269"/>
      <c r="C62" s="269"/>
      <c r="D62" s="269"/>
      <c r="E62" s="269"/>
      <c r="F62" s="269"/>
      <c r="G62" s="307"/>
      <c r="H62" s="269"/>
      <c r="I62" s="269"/>
      <c r="J62" s="269"/>
      <c r="K62" s="269"/>
      <c r="L62" s="269"/>
      <c r="M62" s="269"/>
      <c r="N62" s="269"/>
      <c r="O62" s="269"/>
      <c r="P62" s="269"/>
      <c r="Q62" s="269"/>
      <c r="R62" s="269"/>
      <c r="S62" s="269"/>
      <c r="T62" s="269"/>
      <c r="U62" s="269"/>
      <c r="V62" s="269"/>
      <c r="W62" s="269"/>
      <c r="X62" s="269"/>
      <c r="Y62" s="269"/>
      <c r="Z62" s="269"/>
      <c r="AA62" s="269"/>
    </row>
    <row r="63" spans="1:27" ht="13.5">
      <c r="A63" s="269"/>
      <c r="B63" s="269"/>
      <c r="C63" s="269"/>
      <c r="D63" s="269"/>
      <c r="E63" s="269"/>
      <c r="F63" s="269"/>
      <c r="G63" s="307"/>
      <c r="H63" s="269"/>
      <c r="I63" s="269"/>
      <c r="J63" s="269"/>
      <c r="K63" s="269"/>
      <c r="L63" s="269"/>
      <c r="M63" s="269"/>
      <c r="N63" s="269"/>
      <c r="O63" s="269"/>
      <c r="P63" s="269"/>
      <c r="Q63" s="269"/>
      <c r="R63" s="269"/>
      <c r="S63" s="269"/>
      <c r="T63" s="269"/>
      <c r="U63" s="269"/>
      <c r="V63" s="269"/>
      <c r="W63" s="269"/>
      <c r="X63" s="269"/>
      <c r="Y63" s="269"/>
      <c r="Z63" s="269"/>
      <c r="AA63" s="269"/>
    </row>
    <row r="64" spans="1:27" ht="13.5">
      <c r="A64" s="269"/>
      <c r="B64" s="269"/>
      <c r="C64" s="269"/>
      <c r="D64" s="269"/>
      <c r="E64" s="269"/>
      <c r="F64" s="269"/>
      <c r="G64" s="307"/>
      <c r="H64" s="269"/>
      <c r="I64" s="269"/>
      <c r="J64" s="269"/>
      <c r="K64" s="269"/>
      <c r="L64" s="269"/>
      <c r="M64" s="269"/>
      <c r="N64" s="269"/>
      <c r="O64" s="269"/>
      <c r="P64" s="269"/>
      <c r="Q64" s="269"/>
      <c r="R64" s="269"/>
      <c r="S64" s="269"/>
      <c r="T64" s="269"/>
      <c r="U64" s="269"/>
      <c r="V64" s="269"/>
      <c r="W64" s="269"/>
      <c r="X64" s="269"/>
      <c r="Y64" s="269"/>
      <c r="Z64" s="269"/>
      <c r="AA64" s="269"/>
    </row>
    <row r="65" spans="1:27" ht="13.5">
      <c r="A65" s="269"/>
      <c r="B65" s="269"/>
      <c r="C65" s="269"/>
      <c r="D65" s="269"/>
      <c r="E65" s="269"/>
      <c r="F65" s="269"/>
      <c r="G65" s="307"/>
      <c r="H65" s="269"/>
      <c r="I65" s="269"/>
      <c r="J65" s="269"/>
      <c r="K65" s="269"/>
      <c r="L65" s="269"/>
      <c r="M65" s="269"/>
      <c r="N65" s="269"/>
      <c r="O65" s="269"/>
      <c r="P65" s="269"/>
      <c r="Q65" s="269"/>
      <c r="R65" s="269"/>
      <c r="S65" s="269"/>
      <c r="T65" s="269"/>
      <c r="U65" s="269"/>
      <c r="V65" s="269"/>
      <c r="W65" s="269"/>
      <c r="X65" s="269"/>
      <c r="Y65" s="269"/>
      <c r="Z65" s="269"/>
      <c r="AA65" s="269"/>
    </row>
    <row r="66" spans="1:27" ht="13.5">
      <c r="A66" s="269"/>
      <c r="B66" s="269"/>
      <c r="C66" s="269"/>
      <c r="D66" s="269"/>
      <c r="E66" s="269"/>
      <c r="F66" s="269"/>
      <c r="G66" s="307"/>
      <c r="H66" s="269"/>
      <c r="I66" s="269"/>
      <c r="J66" s="269"/>
      <c r="K66" s="269"/>
      <c r="L66" s="269"/>
      <c r="M66" s="269"/>
      <c r="N66" s="269"/>
      <c r="O66" s="269"/>
      <c r="P66" s="269"/>
      <c r="Q66" s="269"/>
      <c r="R66" s="269"/>
      <c r="S66" s="269"/>
      <c r="T66" s="269"/>
      <c r="U66" s="269"/>
      <c r="V66" s="269"/>
      <c r="W66" s="269"/>
      <c r="X66" s="269"/>
      <c r="Y66" s="269"/>
      <c r="Z66" s="269"/>
      <c r="AA66" s="269"/>
    </row>
    <row r="67" spans="1:27" ht="13.5">
      <c r="A67" s="269"/>
      <c r="B67" s="269"/>
      <c r="C67" s="269"/>
      <c r="D67" s="269"/>
      <c r="E67" s="269"/>
      <c r="F67" s="269"/>
      <c r="G67" s="307"/>
      <c r="H67" s="269"/>
      <c r="I67" s="269"/>
      <c r="J67" s="269"/>
      <c r="K67" s="269"/>
      <c r="L67" s="269"/>
      <c r="M67" s="269"/>
      <c r="N67" s="269"/>
      <c r="O67" s="269"/>
      <c r="P67" s="269"/>
      <c r="Q67" s="269"/>
      <c r="R67" s="269"/>
      <c r="S67" s="269"/>
      <c r="T67" s="269"/>
      <c r="U67" s="269"/>
      <c r="V67" s="269"/>
      <c r="W67" s="269"/>
      <c r="X67" s="269"/>
      <c r="Y67" s="269"/>
      <c r="Z67" s="269"/>
      <c r="AA67" s="269"/>
    </row>
    <row r="68" spans="1:27" ht="13.5">
      <c r="A68" s="269"/>
      <c r="B68" s="269"/>
      <c r="C68" s="269"/>
      <c r="D68" s="269"/>
      <c r="E68" s="269"/>
      <c r="F68" s="269"/>
      <c r="G68" s="307"/>
      <c r="H68" s="269"/>
      <c r="I68" s="269"/>
      <c r="J68" s="269"/>
      <c r="K68" s="269"/>
      <c r="L68" s="269"/>
      <c r="M68" s="269"/>
      <c r="N68" s="269"/>
      <c r="O68" s="269"/>
      <c r="P68" s="269"/>
      <c r="Q68" s="269"/>
      <c r="R68" s="269"/>
      <c r="S68" s="269"/>
      <c r="T68" s="269"/>
      <c r="U68" s="269"/>
      <c r="V68" s="269"/>
      <c r="W68" s="269"/>
      <c r="X68" s="269"/>
      <c r="Y68" s="269"/>
      <c r="Z68" s="269"/>
      <c r="AA68" s="269"/>
    </row>
    <row r="69" spans="1:27" ht="13.5">
      <c r="A69" s="269"/>
      <c r="B69" s="269"/>
      <c r="C69" s="269"/>
      <c r="D69" s="269"/>
      <c r="E69" s="269"/>
      <c r="F69" s="269"/>
      <c r="G69" s="307"/>
      <c r="H69" s="269"/>
      <c r="I69" s="269"/>
      <c r="J69" s="269"/>
      <c r="K69" s="269"/>
      <c r="L69" s="269"/>
      <c r="M69" s="269"/>
      <c r="N69" s="269"/>
      <c r="O69" s="269"/>
      <c r="P69" s="269"/>
      <c r="Q69" s="269"/>
      <c r="R69" s="269"/>
      <c r="S69" s="269"/>
      <c r="T69" s="269"/>
      <c r="U69" s="269"/>
      <c r="V69" s="269"/>
      <c r="W69" s="269"/>
      <c r="X69" s="269"/>
      <c r="Y69" s="269"/>
      <c r="Z69" s="269"/>
      <c r="AA69" s="269"/>
    </row>
    <row r="70" spans="1:27" ht="13.5">
      <c r="A70" s="269"/>
      <c r="B70" s="269"/>
      <c r="C70" s="269"/>
      <c r="D70" s="269"/>
      <c r="E70" s="269"/>
      <c r="F70" s="269"/>
      <c r="G70" s="307"/>
      <c r="H70" s="269"/>
      <c r="I70" s="269"/>
      <c r="J70" s="269"/>
      <c r="K70" s="269"/>
      <c r="L70" s="269"/>
      <c r="M70" s="269"/>
      <c r="N70" s="269"/>
      <c r="O70" s="269"/>
      <c r="P70" s="269"/>
      <c r="Q70" s="269"/>
      <c r="R70" s="269"/>
      <c r="S70" s="269"/>
      <c r="T70" s="269"/>
      <c r="U70" s="269"/>
      <c r="V70" s="269"/>
      <c r="W70" s="269"/>
      <c r="X70" s="269"/>
      <c r="Y70" s="269"/>
      <c r="Z70" s="269"/>
      <c r="AA70" s="269"/>
    </row>
    <row r="71" spans="1:27" ht="13.5">
      <c r="A71" s="269"/>
      <c r="B71" s="269"/>
      <c r="C71" s="269"/>
      <c r="D71" s="269"/>
      <c r="E71" s="269"/>
      <c r="F71" s="269"/>
      <c r="G71" s="307"/>
      <c r="H71" s="269"/>
      <c r="I71" s="269"/>
      <c r="J71" s="269"/>
      <c r="K71" s="269"/>
      <c r="L71" s="269"/>
      <c r="M71" s="269"/>
      <c r="N71" s="269"/>
      <c r="O71" s="269"/>
      <c r="P71" s="269"/>
      <c r="Q71" s="269"/>
      <c r="R71" s="269"/>
      <c r="S71" s="269"/>
      <c r="T71" s="269"/>
      <c r="U71" s="269"/>
      <c r="V71" s="269"/>
      <c r="W71" s="269"/>
      <c r="X71" s="269"/>
      <c r="Y71" s="269"/>
      <c r="Z71" s="269"/>
      <c r="AA71" s="269"/>
    </row>
    <row r="72" spans="1:27" ht="13.5">
      <c r="A72" s="269"/>
      <c r="B72" s="269"/>
      <c r="C72" s="269"/>
      <c r="D72" s="269"/>
      <c r="E72" s="269"/>
      <c r="F72" s="269"/>
      <c r="G72" s="307"/>
      <c r="H72" s="269"/>
      <c r="I72" s="269"/>
      <c r="J72" s="269"/>
      <c r="K72" s="269"/>
      <c r="L72" s="269"/>
      <c r="M72" s="269"/>
      <c r="N72" s="269"/>
      <c r="O72" s="269"/>
      <c r="P72" s="269"/>
      <c r="Q72" s="269"/>
      <c r="R72" s="269"/>
      <c r="S72" s="269"/>
      <c r="T72" s="269"/>
      <c r="U72" s="269"/>
      <c r="V72" s="269"/>
      <c r="W72" s="269"/>
      <c r="X72" s="269"/>
      <c r="Y72" s="269"/>
      <c r="Z72" s="269"/>
      <c r="AA72" s="269"/>
    </row>
    <row r="73" spans="1:27" ht="13.5">
      <c r="A73" s="269"/>
      <c r="B73" s="269"/>
      <c r="C73" s="269"/>
      <c r="D73" s="269"/>
      <c r="E73" s="269"/>
      <c r="F73" s="269"/>
      <c r="G73" s="307"/>
      <c r="H73" s="269"/>
      <c r="I73" s="269"/>
      <c r="J73" s="269"/>
      <c r="K73" s="269"/>
      <c r="L73" s="269"/>
      <c r="M73" s="269"/>
      <c r="N73" s="269"/>
      <c r="O73" s="269"/>
      <c r="P73" s="269"/>
      <c r="Q73" s="269"/>
      <c r="R73" s="269"/>
      <c r="S73" s="269"/>
      <c r="T73" s="269"/>
      <c r="U73" s="269"/>
      <c r="V73" s="269"/>
      <c r="W73" s="269"/>
      <c r="X73" s="269"/>
      <c r="Y73" s="269"/>
      <c r="Z73" s="269"/>
      <c r="AA73" s="269"/>
    </row>
    <row r="74" spans="1:27" ht="13.5">
      <c r="A74" s="269"/>
      <c r="B74" s="269"/>
      <c r="C74" s="269"/>
      <c r="D74" s="269"/>
      <c r="E74" s="269"/>
      <c r="F74" s="269"/>
      <c r="G74" s="307"/>
      <c r="H74" s="269"/>
      <c r="I74" s="269"/>
      <c r="J74" s="269"/>
      <c r="K74" s="269"/>
      <c r="L74" s="269"/>
      <c r="M74" s="269"/>
      <c r="N74" s="269"/>
      <c r="O74" s="269"/>
      <c r="P74" s="269"/>
      <c r="Q74" s="269"/>
      <c r="R74" s="269"/>
      <c r="S74" s="269"/>
      <c r="T74" s="269"/>
      <c r="U74" s="269"/>
      <c r="V74" s="269"/>
      <c r="W74" s="269"/>
      <c r="X74" s="269"/>
      <c r="Y74" s="269"/>
      <c r="Z74" s="269"/>
      <c r="AA74" s="269"/>
    </row>
    <row r="75" spans="1:27" ht="13.5">
      <c r="A75" s="269"/>
      <c r="B75" s="269"/>
      <c r="C75" s="269"/>
      <c r="D75" s="269"/>
      <c r="E75" s="269"/>
      <c r="F75" s="269"/>
      <c r="G75" s="307"/>
      <c r="H75" s="269"/>
      <c r="I75" s="269"/>
      <c r="J75" s="269"/>
      <c r="K75" s="269"/>
      <c r="L75" s="269"/>
      <c r="M75" s="269"/>
      <c r="N75" s="269"/>
      <c r="O75" s="269"/>
      <c r="P75" s="269"/>
      <c r="Q75" s="269"/>
      <c r="R75" s="269"/>
      <c r="S75" s="269"/>
      <c r="T75" s="269"/>
      <c r="U75" s="269"/>
      <c r="V75" s="269"/>
      <c r="W75" s="269"/>
      <c r="X75" s="269"/>
      <c r="Y75" s="269"/>
      <c r="Z75" s="269"/>
      <c r="AA75" s="269"/>
    </row>
    <row r="76" spans="1:27" ht="13.5">
      <c r="A76" s="269"/>
      <c r="B76" s="269"/>
      <c r="C76" s="269"/>
      <c r="D76" s="269"/>
      <c r="E76" s="269"/>
      <c r="F76" s="269"/>
      <c r="G76" s="307"/>
      <c r="H76" s="269"/>
      <c r="I76" s="269"/>
      <c r="J76" s="269"/>
      <c r="K76" s="269"/>
      <c r="L76" s="269"/>
      <c r="M76" s="269"/>
      <c r="N76" s="269"/>
      <c r="O76" s="269"/>
      <c r="P76" s="269"/>
      <c r="Q76" s="269"/>
      <c r="R76" s="269"/>
      <c r="S76" s="269"/>
      <c r="T76" s="269"/>
      <c r="U76" s="269"/>
      <c r="V76" s="269"/>
      <c r="W76" s="269"/>
      <c r="X76" s="269"/>
      <c r="Y76" s="269"/>
      <c r="Z76" s="269"/>
      <c r="AA76" s="269"/>
    </row>
    <row r="77" spans="1:27" ht="13.5">
      <c r="A77" s="269"/>
      <c r="B77" s="269"/>
      <c r="C77" s="269"/>
      <c r="D77" s="269"/>
      <c r="E77" s="269"/>
      <c r="F77" s="269"/>
      <c r="G77" s="307"/>
      <c r="H77" s="269"/>
      <c r="I77" s="269"/>
      <c r="J77" s="269"/>
      <c r="K77" s="269"/>
      <c r="L77" s="269"/>
      <c r="M77" s="269"/>
      <c r="N77" s="269"/>
      <c r="O77" s="269"/>
      <c r="P77" s="269"/>
      <c r="Q77" s="269"/>
      <c r="R77" s="269"/>
      <c r="S77" s="269"/>
      <c r="T77" s="269"/>
      <c r="U77" s="269"/>
      <c r="V77" s="269"/>
      <c r="W77" s="269"/>
      <c r="X77" s="269"/>
      <c r="Y77" s="269"/>
      <c r="Z77" s="269"/>
      <c r="AA77" s="269"/>
    </row>
    <row r="78" spans="1:27" ht="13.5">
      <c r="A78" s="269"/>
      <c r="B78" s="269"/>
      <c r="C78" s="269"/>
      <c r="D78" s="269"/>
      <c r="E78" s="269"/>
      <c r="F78" s="269"/>
      <c r="G78" s="307"/>
      <c r="H78" s="269"/>
      <c r="I78" s="269"/>
      <c r="J78" s="269"/>
      <c r="K78" s="269"/>
      <c r="L78" s="269"/>
      <c r="M78" s="269"/>
      <c r="N78" s="269"/>
      <c r="O78" s="269"/>
      <c r="P78" s="269"/>
      <c r="Q78" s="269"/>
      <c r="R78" s="269"/>
      <c r="S78" s="269"/>
      <c r="T78" s="269"/>
      <c r="U78" s="269"/>
      <c r="V78" s="269"/>
      <c r="W78" s="269"/>
      <c r="X78" s="269"/>
      <c r="Y78" s="269"/>
      <c r="Z78" s="269"/>
      <c r="AA78" s="269"/>
    </row>
    <row r="79" spans="1:27" ht="13.5">
      <c r="A79" s="269"/>
      <c r="B79" s="269"/>
      <c r="C79" s="269"/>
      <c r="D79" s="269"/>
      <c r="E79" s="269"/>
      <c r="F79" s="269"/>
      <c r="G79" s="307"/>
      <c r="H79" s="269"/>
      <c r="I79" s="269"/>
      <c r="J79" s="269"/>
      <c r="K79" s="269"/>
      <c r="L79" s="269"/>
      <c r="M79" s="269"/>
      <c r="N79" s="269"/>
      <c r="O79" s="269"/>
      <c r="P79" s="269"/>
      <c r="Q79" s="269"/>
      <c r="R79" s="269"/>
      <c r="S79" s="269"/>
      <c r="T79" s="269"/>
      <c r="U79" s="269"/>
      <c r="V79" s="269"/>
      <c r="W79" s="269"/>
      <c r="X79" s="269"/>
      <c r="Y79" s="269"/>
      <c r="Z79" s="269"/>
      <c r="AA79" s="269"/>
    </row>
    <row r="80" spans="1:27" ht="13.5">
      <c r="A80" s="269"/>
      <c r="B80" s="269"/>
      <c r="C80" s="269"/>
      <c r="D80" s="269"/>
      <c r="E80" s="269"/>
      <c r="F80" s="269"/>
      <c r="G80" s="307"/>
      <c r="H80" s="269"/>
      <c r="I80" s="269"/>
      <c r="J80" s="269"/>
      <c r="K80" s="269"/>
      <c r="L80" s="269"/>
      <c r="M80" s="269"/>
      <c r="N80" s="269"/>
      <c r="O80" s="269"/>
      <c r="P80" s="269"/>
      <c r="Q80" s="269"/>
      <c r="R80" s="269"/>
      <c r="S80" s="269"/>
      <c r="T80" s="269"/>
      <c r="U80" s="269"/>
      <c r="V80" s="269"/>
      <c r="W80" s="269"/>
      <c r="X80" s="269"/>
      <c r="Y80" s="269"/>
      <c r="Z80" s="269"/>
      <c r="AA80" s="269"/>
    </row>
    <row r="81" spans="1:27" ht="13.5">
      <c r="A81" s="269"/>
      <c r="B81" s="269"/>
      <c r="C81" s="269"/>
      <c r="D81" s="269"/>
      <c r="E81" s="269"/>
      <c r="F81" s="269"/>
      <c r="G81" s="307"/>
      <c r="H81" s="269"/>
      <c r="I81" s="269"/>
      <c r="J81" s="269"/>
      <c r="K81" s="269"/>
      <c r="L81" s="269"/>
      <c r="M81" s="269"/>
      <c r="N81" s="269"/>
      <c r="O81" s="269"/>
      <c r="P81" s="269"/>
      <c r="Q81" s="269"/>
      <c r="R81" s="269"/>
      <c r="S81" s="269"/>
      <c r="T81" s="269"/>
      <c r="U81" s="269"/>
      <c r="V81" s="269"/>
      <c r="W81" s="269"/>
      <c r="X81" s="269"/>
      <c r="Y81" s="269"/>
      <c r="Z81" s="269"/>
      <c r="AA81" s="269"/>
    </row>
    <row r="82" spans="1:27" ht="13.5">
      <c r="A82" s="269"/>
      <c r="B82" s="269"/>
      <c r="C82" s="269"/>
      <c r="D82" s="269"/>
      <c r="E82" s="269"/>
      <c r="F82" s="269"/>
      <c r="G82" s="307"/>
      <c r="H82" s="269"/>
      <c r="I82" s="269"/>
      <c r="J82" s="269"/>
      <c r="K82" s="269"/>
      <c r="L82" s="269"/>
      <c r="M82" s="269"/>
      <c r="N82" s="269"/>
      <c r="O82" s="269"/>
      <c r="P82" s="269"/>
      <c r="Q82" s="269"/>
      <c r="R82" s="269"/>
      <c r="S82" s="269"/>
      <c r="T82" s="269"/>
      <c r="U82" s="269"/>
      <c r="V82" s="269"/>
      <c r="W82" s="269"/>
      <c r="X82" s="269"/>
      <c r="Y82" s="269"/>
      <c r="Z82" s="269"/>
      <c r="AA82" s="269"/>
    </row>
    <row r="83" spans="1:27" ht="13.5" hidden="1">
      <c r="A83" s="269"/>
      <c r="B83" s="269"/>
      <c r="C83" s="269"/>
      <c r="D83" s="269"/>
      <c r="E83" s="269"/>
      <c r="F83" s="269"/>
      <c r="G83" s="307"/>
      <c r="H83" s="269"/>
      <c r="I83" s="269"/>
      <c r="J83" s="269"/>
      <c r="K83" s="269"/>
      <c r="L83" s="269"/>
      <c r="M83" s="269"/>
      <c r="N83" s="269"/>
      <c r="O83" s="269"/>
      <c r="P83" s="269"/>
      <c r="Q83" s="269"/>
      <c r="R83" s="269"/>
      <c r="S83" s="269"/>
      <c r="T83" s="269"/>
      <c r="U83" s="269"/>
      <c r="V83" s="269"/>
      <c r="W83" s="269"/>
      <c r="X83" s="269"/>
      <c r="Y83" s="269"/>
      <c r="Z83" s="269"/>
      <c r="AA83" s="269"/>
    </row>
    <row r="84" spans="1:27" ht="13.5" hidden="1">
      <c r="A84" s="269"/>
      <c r="B84" s="269"/>
      <c r="C84" s="269"/>
      <c r="D84" s="269"/>
      <c r="E84" s="269"/>
      <c r="F84" s="269"/>
      <c r="G84" s="307"/>
      <c r="H84" s="269"/>
      <c r="I84" s="269"/>
      <c r="J84" s="269"/>
      <c r="K84" s="269"/>
      <c r="L84" s="269"/>
      <c r="M84" s="269"/>
      <c r="N84" s="269"/>
      <c r="O84" s="269"/>
      <c r="P84" s="269"/>
      <c r="Q84" s="269"/>
      <c r="R84" s="269"/>
      <c r="S84" s="269"/>
      <c r="T84" s="269"/>
      <c r="U84" s="269"/>
      <c r="V84" s="269"/>
      <c r="W84" s="269"/>
      <c r="X84" s="269"/>
      <c r="Y84" s="269"/>
      <c r="Z84" s="269"/>
      <c r="AA84" s="269"/>
    </row>
    <row r="85" spans="1:27" s="269" customFormat="1" ht="13.5" hidden="1">
      <c r="G85" s="307"/>
    </row>
    <row r="86" spans="1:27" s="269" customFormat="1" ht="13.5" hidden="1">
      <c r="G86" s="307"/>
    </row>
    <row r="87" spans="1:27" s="269" customFormat="1" ht="13.5">
      <c r="G87" s="307"/>
    </row>
    <row r="88" spans="1:27" s="269" customFormat="1" ht="13.5">
      <c r="G88" s="307"/>
    </row>
    <row r="89" spans="1:27" s="269" customFormat="1" ht="13.5">
      <c r="G89" s="307"/>
    </row>
    <row r="90" spans="1:27" s="269" customFormat="1" ht="13.5">
      <c r="G90" s="307"/>
    </row>
    <row r="91" spans="1:27" s="269" customFormat="1" ht="13.5">
      <c r="G91" s="307"/>
    </row>
    <row r="92" spans="1:27" s="269" customFormat="1" ht="13.5">
      <c r="G92" s="307"/>
    </row>
    <row r="93" spans="1:27" s="269" customFormat="1" ht="13.5">
      <c r="G93" s="307"/>
    </row>
    <row r="94" spans="1:27" s="269" customFormat="1" ht="13.5">
      <c r="G94" s="307"/>
    </row>
    <row r="95" spans="1:27" s="269" customFormat="1" ht="13.5">
      <c r="G95" s="307"/>
    </row>
    <row r="96" spans="1:27" s="269" customFormat="1" ht="13.5">
      <c r="G96" s="307"/>
    </row>
    <row r="97" spans="7:7" s="269" customFormat="1" ht="13.5">
      <c r="G97" s="307"/>
    </row>
    <row r="98" spans="7:7" s="269" customFormat="1" ht="13.5">
      <c r="G98" s="307"/>
    </row>
    <row r="99" spans="7:7" s="269" customFormat="1" ht="13.5">
      <c r="G99" s="307"/>
    </row>
    <row r="100" spans="7:7" s="269" customFormat="1" ht="13.5">
      <c r="G100" s="307"/>
    </row>
    <row r="101" spans="7:7" s="269" customFormat="1" ht="18" customHeight="1">
      <c r="G101" s="307"/>
    </row>
    <row r="102" spans="7:7" s="269" customFormat="1" ht="13.5">
      <c r="G102" s="307"/>
    </row>
    <row r="103" spans="7:7" s="269" customFormat="1" ht="13.5">
      <c r="G103" s="307"/>
    </row>
    <row r="104" spans="7:7" s="269" customFormat="1" ht="13.5">
      <c r="G104" s="307"/>
    </row>
    <row r="105" spans="7:7" s="269" customFormat="1" ht="13.5">
      <c r="G105" s="307"/>
    </row>
    <row r="106" spans="7:7" s="269" customFormat="1" ht="13.5">
      <c r="G106" s="307"/>
    </row>
    <row r="107" spans="7:7" s="269" customFormat="1" ht="13.5">
      <c r="G107" s="307"/>
    </row>
    <row r="108" spans="7:7" s="269" customFormat="1" ht="13.5">
      <c r="G108" s="307"/>
    </row>
    <row r="109" spans="7:7" s="269" customFormat="1" ht="13.5">
      <c r="G109" s="307"/>
    </row>
    <row r="110" spans="7:7" s="269" customFormat="1" ht="13.5">
      <c r="G110" s="307"/>
    </row>
    <row r="111" spans="7:7" s="269" customFormat="1" ht="13.5">
      <c r="G111" s="307"/>
    </row>
    <row r="112" spans="7:7" s="269" customFormat="1" ht="13.5">
      <c r="G112" s="307"/>
    </row>
    <row r="113" spans="1:27" s="269" customFormat="1" ht="13.5">
      <c r="G113" s="307"/>
    </row>
    <row r="114" spans="1:27" s="269" customFormat="1" ht="13.5">
      <c r="G114" s="307"/>
    </row>
    <row r="115" spans="1:27" s="269" customFormat="1" ht="13.5">
      <c r="G115" s="307"/>
    </row>
    <row r="116" spans="1:27" s="269" customFormat="1" ht="13.5">
      <c r="G116" s="307"/>
    </row>
    <row r="117" spans="1:27" s="269" customFormat="1" ht="13.5">
      <c r="G117" s="307"/>
    </row>
    <row r="118" spans="1:27" s="269" customFormat="1" ht="13.5">
      <c r="G118" s="307"/>
    </row>
    <row r="119" spans="1:27" s="269" customFormat="1" ht="12" customHeight="1">
      <c r="G119" s="307"/>
    </row>
    <row r="120" spans="1:27" s="269" customFormat="1" ht="12" customHeight="1">
      <c r="G120" s="307"/>
    </row>
    <row r="121" spans="1:27" s="269" customFormat="1" ht="12" customHeight="1">
      <c r="G121" s="307"/>
    </row>
    <row r="122" spans="1:27" s="269" customFormat="1" ht="12" customHeight="1">
      <c r="G122" s="307"/>
    </row>
    <row r="123" spans="1:27" s="269" customFormat="1" ht="12" customHeight="1">
      <c r="G123" s="307"/>
    </row>
    <row r="124" spans="1:27" s="269" customFormat="1" ht="12" customHeight="1">
      <c r="G124" s="307"/>
    </row>
    <row r="125" spans="1:27" s="269" customFormat="1" ht="12" customHeight="1">
      <c r="G125" s="307"/>
    </row>
    <row r="126" spans="1:27" s="269" customFormat="1" ht="12" customHeight="1">
      <c r="G126" s="307"/>
    </row>
    <row r="127" spans="1:27" s="269" customFormat="1" ht="12" customHeight="1">
      <c r="G127" s="307"/>
    </row>
    <row r="128" spans="1:27" s="280" customFormat="1" ht="9.75" customHeight="1">
      <c r="A128" s="269"/>
      <c r="B128" s="269"/>
      <c r="C128" s="269"/>
      <c r="D128" s="269"/>
      <c r="E128" s="269"/>
      <c r="F128" s="269"/>
      <c r="G128" s="307"/>
      <c r="H128" s="269"/>
      <c r="I128" s="269"/>
      <c r="J128" s="269"/>
      <c r="K128" s="269"/>
      <c r="L128" s="269"/>
      <c r="M128" s="269"/>
      <c r="N128" s="269"/>
      <c r="O128" s="269"/>
      <c r="P128" s="269"/>
      <c r="Q128" s="269"/>
      <c r="R128" s="269"/>
      <c r="S128" s="269"/>
      <c r="T128" s="269"/>
      <c r="U128" s="269"/>
      <c r="V128" s="269"/>
      <c r="W128" s="269"/>
      <c r="X128" s="269"/>
      <c r="Y128" s="269"/>
      <c r="Z128" s="269"/>
      <c r="AA128" s="269"/>
    </row>
  </sheetData>
  <mergeCells count="7">
    <mergeCell ref="B3:C3"/>
    <mergeCell ref="D3:H3"/>
    <mergeCell ref="F21:H21"/>
    <mergeCell ref="G19:H19"/>
    <mergeCell ref="C10:D10"/>
    <mergeCell ref="B6:G8"/>
    <mergeCell ref="F10:G10"/>
  </mergeCells>
  <phoneticPr fontId="5"/>
  <conditionalFormatting sqref="B12">
    <cfRule type="cellIs" dxfId="11" priority="1" stopIfTrue="1" operator="equal">
      <formula>"以下の項目は、入力不要"</formula>
    </cfRule>
  </conditionalFormatting>
  <dataValidations count="2">
    <dataValidation type="list" allowBlank="1" showInputMessage="1" showErrorMessage="1" sqref="F10:G10" xr:uid="{00000000-0002-0000-0900-000000000000}">
      <formula1>補修</formula1>
    </dataValidation>
    <dataValidation type="list" allowBlank="1" showInputMessage="1" showErrorMessage="1" sqref="F16:F19" xr:uid="{00000000-0002-0000-0900-000001000000}">
      <formula1>補償方法選択</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4"/>
  </sheetPr>
  <dimension ref="A1:N113"/>
  <sheetViews>
    <sheetView showGridLines="0" topLeftCell="A5" zoomScaleNormal="100" zoomScaleSheetLayoutView="100" workbookViewId="0">
      <selection activeCell="M5" sqref="M1:O1048576"/>
    </sheetView>
  </sheetViews>
  <sheetFormatPr defaultRowHeight="13.5"/>
  <cols>
    <col min="1" max="1" width="2.125" style="152" customWidth="1"/>
    <col min="2" max="2" width="4.625" style="152" customWidth="1"/>
    <col min="3" max="3" width="3.75" style="152" customWidth="1"/>
    <col min="4" max="4" width="29.125" style="152" customWidth="1"/>
    <col min="5" max="5" width="2.875" style="152" customWidth="1"/>
    <col min="6" max="6" width="10" style="152" customWidth="1"/>
    <col min="7" max="7" width="4.125" style="592" customWidth="1"/>
    <col min="8" max="8" width="4.625" style="152" customWidth="1"/>
    <col min="9" max="9" width="3.75" style="152" customWidth="1"/>
    <col min="10" max="10" width="29.125" style="152" customWidth="1"/>
    <col min="11" max="11" width="2.875" style="152" customWidth="1"/>
    <col min="12" max="12" width="10" style="152" customWidth="1"/>
    <col min="13" max="13" width="9" style="152"/>
    <col min="14" max="14" width="9" style="152" customWidth="1"/>
    <col min="15" max="16384" width="9" style="152"/>
  </cols>
  <sheetData>
    <row r="1" spans="1:14" ht="15.75" hidden="1" customHeight="1">
      <c r="A1" s="808" t="s">
        <v>642</v>
      </c>
      <c r="B1" s="808">
        <f>COUNTIF(E11:E12:C14:C113:K11:K12:I14:I113,"※")</f>
        <v>0</v>
      </c>
      <c r="C1" s="809" t="s">
        <v>643</v>
      </c>
      <c r="D1" s="808">
        <f>COUNTIF(E11:E12:C14:C113:K11:K12:I14:I113,"E")</f>
        <v>0</v>
      </c>
    </row>
    <row r="2" spans="1:14" ht="27" customHeight="1"/>
    <row r="3" spans="1:14" ht="24" customHeight="1">
      <c r="B3" s="2277" t="s">
        <v>707</v>
      </c>
      <c r="C3" s="2366"/>
      <c r="D3" s="2357" t="str">
        <f>IF(工事情報!G4="","",工事情報!G4)</f>
        <v/>
      </c>
      <c r="E3" s="2266"/>
      <c r="F3" s="2266"/>
      <c r="G3" s="2266"/>
      <c r="H3" s="2267"/>
    </row>
    <row r="4" spans="1:14" ht="30" customHeight="1">
      <c r="N4" s="546"/>
    </row>
    <row r="5" spans="1:14" ht="17.25">
      <c r="B5" s="603" t="s">
        <v>287</v>
      </c>
    </row>
    <row r="6" spans="1:14">
      <c r="B6" s="592" t="s">
        <v>201</v>
      </c>
    </row>
    <row r="7" spans="1:14">
      <c r="B7" s="592" t="s">
        <v>202</v>
      </c>
    </row>
    <row r="8" spans="1:14">
      <c r="B8" s="592" t="s">
        <v>550</v>
      </c>
    </row>
    <row r="9" spans="1:14">
      <c r="B9" s="592"/>
    </row>
    <row r="10" spans="1:14" ht="18" customHeight="1">
      <c r="B10" s="604" t="s">
        <v>194</v>
      </c>
      <c r="C10" s="314"/>
      <c r="H10" s="605" t="s">
        <v>195</v>
      </c>
      <c r="I10" s="314"/>
    </row>
    <row r="11" spans="1:14" ht="18" customHeight="1">
      <c r="B11" s="655" t="s">
        <v>161</v>
      </c>
      <c r="C11" s="593"/>
      <c r="D11" s="186"/>
      <c r="E11" s="579"/>
      <c r="F11" s="602"/>
      <c r="G11" s="594"/>
      <c r="H11" s="654" t="s">
        <v>423</v>
      </c>
      <c r="I11" s="595"/>
      <c r="J11" s="596"/>
      <c r="K11" s="579"/>
      <c r="L11" s="602"/>
      <c r="N11" s="152" t="s">
        <v>288</v>
      </c>
    </row>
    <row r="12" spans="1:14" ht="18" customHeight="1">
      <c r="B12" s="646" t="s">
        <v>162</v>
      </c>
      <c r="C12" s="590"/>
      <c r="D12" s="590"/>
      <c r="E12" s="579"/>
      <c r="F12" s="602"/>
      <c r="G12" s="594"/>
      <c r="H12" s="646" t="s">
        <v>424</v>
      </c>
      <c r="I12" s="590"/>
      <c r="J12" s="590"/>
      <c r="K12" s="579"/>
      <c r="L12" s="602"/>
      <c r="N12" s="152" t="s">
        <v>289</v>
      </c>
    </row>
    <row r="13" spans="1:14" ht="18" customHeight="1">
      <c r="B13" s="2309" t="s">
        <v>163</v>
      </c>
      <c r="C13" s="2563"/>
      <c r="D13" s="2563"/>
      <c r="E13" s="2563"/>
      <c r="F13" s="2310"/>
      <c r="G13" s="594"/>
      <c r="H13" s="2309" t="s">
        <v>516</v>
      </c>
      <c r="I13" s="2563"/>
      <c r="J13" s="2563"/>
      <c r="K13" s="2563"/>
      <c r="L13" s="2310"/>
    </row>
    <row r="14" spans="1:14" ht="39" customHeight="1">
      <c r="B14" s="598">
        <v>1</v>
      </c>
      <c r="C14" s="608"/>
      <c r="D14" s="2560"/>
      <c r="E14" s="2561"/>
      <c r="F14" s="2562"/>
      <c r="G14" s="597"/>
      <c r="H14" s="598">
        <v>1</v>
      </c>
      <c r="I14" s="608"/>
      <c r="J14" s="2560"/>
      <c r="K14" s="2561"/>
      <c r="L14" s="2562"/>
    </row>
    <row r="15" spans="1:14" ht="39" customHeight="1">
      <c r="B15" s="599">
        <v>2</v>
      </c>
      <c r="C15" s="609"/>
      <c r="D15" s="2557"/>
      <c r="E15" s="2558"/>
      <c r="F15" s="2559"/>
      <c r="G15" s="597"/>
      <c r="H15" s="599">
        <v>2</v>
      </c>
      <c r="I15" s="609"/>
      <c r="J15" s="2557"/>
      <c r="K15" s="2558"/>
      <c r="L15" s="2559"/>
    </row>
    <row r="16" spans="1:14" ht="39" customHeight="1">
      <c r="B16" s="599">
        <v>3</v>
      </c>
      <c r="C16" s="609"/>
      <c r="D16" s="2557"/>
      <c r="E16" s="2558"/>
      <c r="F16" s="2559"/>
      <c r="G16" s="597"/>
      <c r="H16" s="599">
        <v>3</v>
      </c>
      <c r="I16" s="609"/>
      <c r="J16" s="2557"/>
      <c r="K16" s="2558"/>
      <c r="L16" s="2559"/>
    </row>
    <row r="17" spans="2:12" ht="39" customHeight="1">
      <c r="B17" s="599">
        <v>4</v>
      </c>
      <c r="C17" s="609"/>
      <c r="D17" s="2557"/>
      <c r="E17" s="2558"/>
      <c r="F17" s="2559"/>
      <c r="G17" s="597"/>
      <c r="H17" s="599">
        <v>4</v>
      </c>
      <c r="I17" s="609"/>
      <c r="J17" s="2557"/>
      <c r="K17" s="2558"/>
      <c r="L17" s="2559"/>
    </row>
    <row r="18" spans="2:12" ht="39" customHeight="1">
      <c r="B18" s="599">
        <v>5</v>
      </c>
      <c r="C18" s="609"/>
      <c r="D18" s="2557"/>
      <c r="E18" s="2558"/>
      <c r="F18" s="2559"/>
      <c r="G18" s="597"/>
      <c r="H18" s="599">
        <v>5</v>
      </c>
      <c r="I18" s="609"/>
      <c r="J18" s="2557"/>
      <c r="K18" s="2558"/>
      <c r="L18" s="2559"/>
    </row>
    <row r="19" spans="2:12" ht="39" customHeight="1">
      <c r="B19" s="599">
        <v>6</v>
      </c>
      <c r="C19" s="609"/>
      <c r="D19" s="2557"/>
      <c r="E19" s="2558"/>
      <c r="F19" s="2559"/>
      <c r="G19" s="597"/>
      <c r="H19" s="599">
        <v>6</v>
      </c>
      <c r="I19" s="609"/>
      <c r="J19" s="2557"/>
      <c r="K19" s="2558"/>
      <c r="L19" s="2559"/>
    </row>
    <row r="20" spans="2:12" ht="39" customHeight="1">
      <c r="B20" s="599">
        <v>7</v>
      </c>
      <c r="C20" s="609"/>
      <c r="D20" s="2557"/>
      <c r="E20" s="2558"/>
      <c r="F20" s="2559"/>
      <c r="G20" s="597"/>
      <c r="H20" s="599">
        <v>7</v>
      </c>
      <c r="I20" s="609"/>
      <c r="J20" s="2557"/>
      <c r="K20" s="2558"/>
      <c r="L20" s="2559"/>
    </row>
    <row r="21" spans="2:12" ht="39" customHeight="1">
      <c r="B21" s="599">
        <v>8</v>
      </c>
      <c r="C21" s="609"/>
      <c r="D21" s="2557"/>
      <c r="E21" s="2558"/>
      <c r="F21" s="2559"/>
      <c r="G21" s="597"/>
      <c r="H21" s="599">
        <v>8</v>
      </c>
      <c r="I21" s="609"/>
      <c r="J21" s="2557"/>
      <c r="K21" s="2558"/>
      <c r="L21" s="2559"/>
    </row>
    <row r="22" spans="2:12" ht="39" customHeight="1">
      <c r="B22" s="599">
        <v>9</v>
      </c>
      <c r="C22" s="609"/>
      <c r="D22" s="2557"/>
      <c r="E22" s="2558"/>
      <c r="F22" s="2559"/>
      <c r="G22" s="597"/>
      <c r="H22" s="599">
        <v>9</v>
      </c>
      <c r="I22" s="609"/>
      <c r="J22" s="2557"/>
      <c r="K22" s="2558"/>
      <c r="L22" s="2559"/>
    </row>
    <row r="23" spans="2:12" ht="39" customHeight="1">
      <c r="B23" s="599">
        <v>10</v>
      </c>
      <c r="C23" s="609"/>
      <c r="D23" s="2557"/>
      <c r="E23" s="2558"/>
      <c r="F23" s="2559"/>
      <c r="G23" s="597"/>
      <c r="H23" s="599">
        <v>10</v>
      </c>
      <c r="I23" s="609"/>
      <c r="J23" s="2557"/>
      <c r="K23" s="2558"/>
      <c r="L23" s="2559"/>
    </row>
    <row r="24" spans="2:12" ht="39" customHeight="1">
      <c r="B24" s="600">
        <v>11</v>
      </c>
      <c r="C24" s="609"/>
      <c r="D24" s="2557"/>
      <c r="E24" s="2558"/>
      <c r="F24" s="2559"/>
      <c r="G24" s="597"/>
      <c r="H24" s="600">
        <v>11</v>
      </c>
      <c r="I24" s="609"/>
      <c r="J24" s="2557"/>
      <c r="K24" s="2558"/>
      <c r="L24" s="2559"/>
    </row>
    <row r="25" spans="2:12" ht="39" customHeight="1">
      <c r="B25" s="599">
        <v>12</v>
      </c>
      <c r="C25" s="609"/>
      <c r="D25" s="2557"/>
      <c r="E25" s="2558"/>
      <c r="F25" s="2559"/>
      <c r="G25" s="597"/>
      <c r="H25" s="599">
        <v>12</v>
      </c>
      <c r="I25" s="609"/>
      <c r="J25" s="2557"/>
      <c r="K25" s="2558"/>
      <c r="L25" s="2559"/>
    </row>
    <row r="26" spans="2:12" ht="39" customHeight="1">
      <c r="B26" s="599">
        <v>13</v>
      </c>
      <c r="C26" s="609"/>
      <c r="D26" s="2557"/>
      <c r="E26" s="2558"/>
      <c r="F26" s="2559"/>
      <c r="G26" s="597"/>
      <c r="H26" s="599">
        <v>13</v>
      </c>
      <c r="I26" s="609"/>
      <c r="J26" s="2557"/>
      <c r="K26" s="2558"/>
      <c r="L26" s="2559"/>
    </row>
    <row r="27" spans="2:12" ht="39" customHeight="1">
      <c r="B27" s="599">
        <v>14</v>
      </c>
      <c r="C27" s="609"/>
      <c r="D27" s="2557"/>
      <c r="E27" s="2558"/>
      <c r="F27" s="2559"/>
      <c r="G27" s="597"/>
      <c r="H27" s="599">
        <v>14</v>
      </c>
      <c r="I27" s="609"/>
      <c r="J27" s="2557"/>
      <c r="K27" s="2558"/>
      <c r="L27" s="2559"/>
    </row>
    <row r="28" spans="2:12" ht="39" customHeight="1">
      <c r="B28" s="599">
        <v>15</v>
      </c>
      <c r="C28" s="609"/>
      <c r="D28" s="2557"/>
      <c r="E28" s="2558"/>
      <c r="F28" s="2559"/>
      <c r="G28" s="597"/>
      <c r="H28" s="599">
        <v>15</v>
      </c>
      <c r="I28" s="609"/>
      <c r="J28" s="2557"/>
      <c r="K28" s="2558"/>
      <c r="L28" s="2559"/>
    </row>
    <row r="29" spans="2:12" ht="39" customHeight="1">
      <c r="B29" s="599">
        <v>16</v>
      </c>
      <c r="C29" s="609"/>
      <c r="D29" s="2557"/>
      <c r="E29" s="2558"/>
      <c r="F29" s="2559"/>
      <c r="G29" s="597"/>
      <c r="H29" s="599">
        <v>16</v>
      </c>
      <c r="I29" s="609"/>
      <c r="J29" s="2557"/>
      <c r="K29" s="2558"/>
      <c r="L29" s="2559"/>
    </row>
    <row r="30" spans="2:12" ht="39" customHeight="1">
      <c r="B30" s="599">
        <v>17</v>
      </c>
      <c r="C30" s="609"/>
      <c r="D30" s="2557"/>
      <c r="E30" s="2558"/>
      <c r="F30" s="2559"/>
      <c r="G30" s="597"/>
      <c r="H30" s="599">
        <v>17</v>
      </c>
      <c r="I30" s="609"/>
      <c r="J30" s="2557"/>
      <c r="K30" s="2558"/>
      <c r="L30" s="2559"/>
    </row>
    <row r="31" spans="2:12" ht="39" customHeight="1">
      <c r="B31" s="599">
        <v>18</v>
      </c>
      <c r="C31" s="609"/>
      <c r="D31" s="2557"/>
      <c r="E31" s="2558"/>
      <c r="F31" s="2559"/>
      <c r="G31" s="597"/>
      <c r="H31" s="599">
        <v>18</v>
      </c>
      <c r="I31" s="609"/>
      <c r="J31" s="2557"/>
      <c r="K31" s="2558"/>
      <c r="L31" s="2559"/>
    </row>
    <row r="32" spans="2:12" ht="39" customHeight="1">
      <c r="B32" s="599">
        <v>19</v>
      </c>
      <c r="C32" s="609"/>
      <c r="D32" s="2557"/>
      <c r="E32" s="2558"/>
      <c r="F32" s="2559"/>
      <c r="G32" s="597"/>
      <c r="H32" s="599">
        <v>19</v>
      </c>
      <c r="I32" s="609"/>
      <c r="J32" s="2557"/>
      <c r="K32" s="2558"/>
      <c r="L32" s="2559"/>
    </row>
    <row r="33" spans="2:12" ht="39" customHeight="1">
      <c r="B33" s="616">
        <v>20</v>
      </c>
      <c r="C33" s="615"/>
      <c r="D33" s="2557"/>
      <c r="E33" s="2558"/>
      <c r="F33" s="2559"/>
      <c r="G33" s="597"/>
      <c r="H33" s="616">
        <v>20</v>
      </c>
      <c r="I33" s="615"/>
      <c r="J33" s="2557"/>
      <c r="K33" s="2558"/>
      <c r="L33" s="2559"/>
    </row>
    <row r="34" spans="2:12" ht="39" customHeight="1">
      <c r="B34" s="599">
        <v>21</v>
      </c>
      <c r="C34" s="609"/>
      <c r="D34" s="2557"/>
      <c r="E34" s="2558"/>
      <c r="F34" s="2559"/>
      <c r="G34" s="597"/>
      <c r="H34" s="599">
        <v>21</v>
      </c>
      <c r="I34" s="609"/>
      <c r="J34" s="2557"/>
      <c r="K34" s="2558"/>
      <c r="L34" s="2559"/>
    </row>
    <row r="35" spans="2:12" ht="39" customHeight="1">
      <c r="B35" s="599">
        <v>22</v>
      </c>
      <c r="C35" s="609"/>
      <c r="D35" s="2557"/>
      <c r="E35" s="2558"/>
      <c r="F35" s="2559"/>
      <c r="G35" s="597"/>
      <c r="H35" s="599">
        <v>22</v>
      </c>
      <c r="I35" s="609"/>
      <c r="J35" s="2557"/>
      <c r="K35" s="2558"/>
      <c r="L35" s="2559"/>
    </row>
    <row r="36" spans="2:12" ht="39" customHeight="1">
      <c r="B36" s="599">
        <v>23</v>
      </c>
      <c r="C36" s="609"/>
      <c r="D36" s="2557"/>
      <c r="E36" s="2558"/>
      <c r="F36" s="2559"/>
      <c r="G36" s="597"/>
      <c r="H36" s="599">
        <v>23</v>
      </c>
      <c r="I36" s="609"/>
      <c r="J36" s="2557"/>
      <c r="K36" s="2558"/>
      <c r="L36" s="2559"/>
    </row>
    <row r="37" spans="2:12" ht="39" customHeight="1">
      <c r="B37" s="599">
        <v>24</v>
      </c>
      <c r="C37" s="609"/>
      <c r="D37" s="2557"/>
      <c r="E37" s="2558"/>
      <c r="F37" s="2559"/>
      <c r="G37" s="597"/>
      <c r="H37" s="599">
        <v>24</v>
      </c>
      <c r="I37" s="609"/>
      <c r="J37" s="2557"/>
      <c r="K37" s="2558"/>
      <c r="L37" s="2559"/>
    </row>
    <row r="38" spans="2:12" ht="39" customHeight="1">
      <c r="B38" s="599">
        <v>25</v>
      </c>
      <c r="C38" s="609"/>
      <c r="D38" s="2557"/>
      <c r="E38" s="2558"/>
      <c r="F38" s="2559"/>
      <c r="G38" s="597"/>
      <c r="H38" s="599">
        <v>25</v>
      </c>
      <c r="I38" s="609"/>
      <c r="J38" s="2557"/>
      <c r="K38" s="2558"/>
      <c r="L38" s="2559"/>
    </row>
    <row r="39" spans="2:12" ht="39" customHeight="1">
      <c r="B39" s="599">
        <v>26</v>
      </c>
      <c r="C39" s="609"/>
      <c r="D39" s="2557"/>
      <c r="E39" s="2558"/>
      <c r="F39" s="2559"/>
      <c r="G39" s="597"/>
      <c r="H39" s="599">
        <v>26</v>
      </c>
      <c r="I39" s="609"/>
      <c r="J39" s="2557"/>
      <c r="K39" s="2558"/>
      <c r="L39" s="2559"/>
    </row>
    <row r="40" spans="2:12" ht="39" customHeight="1">
      <c r="B40" s="599">
        <v>27</v>
      </c>
      <c r="C40" s="609"/>
      <c r="D40" s="2557"/>
      <c r="E40" s="2558"/>
      <c r="F40" s="2559"/>
      <c r="G40" s="597"/>
      <c r="H40" s="599">
        <v>27</v>
      </c>
      <c r="I40" s="609"/>
      <c r="J40" s="2557"/>
      <c r="K40" s="2558"/>
      <c r="L40" s="2559"/>
    </row>
    <row r="41" spans="2:12" ht="39" customHeight="1">
      <c r="B41" s="599">
        <v>28</v>
      </c>
      <c r="C41" s="609"/>
      <c r="D41" s="2557"/>
      <c r="E41" s="2558"/>
      <c r="F41" s="2559"/>
      <c r="G41" s="597"/>
      <c r="H41" s="599">
        <v>28</v>
      </c>
      <c r="I41" s="609"/>
      <c r="J41" s="2557"/>
      <c r="K41" s="2558"/>
      <c r="L41" s="2559"/>
    </row>
    <row r="42" spans="2:12" ht="39" customHeight="1">
      <c r="B42" s="599">
        <v>29</v>
      </c>
      <c r="C42" s="609"/>
      <c r="D42" s="2557"/>
      <c r="E42" s="2558"/>
      <c r="F42" s="2559"/>
      <c r="G42" s="597"/>
      <c r="H42" s="599">
        <v>29</v>
      </c>
      <c r="I42" s="609"/>
      <c r="J42" s="2557"/>
      <c r="K42" s="2558"/>
      <c r="L42" s="2559"/>
    </row>
    <row r="43" spans="2:12" ht="39" customHeight="1">
      <c r="B43" s="599">
        <v>30</v>
      </c>
      <c r="C43" s="609"/>
      <c r="D43" s="2557"/>
      <c r="E43" s="2558"/>
      <c r="F43" s="2559"/>
      <c r="G43" s="597"/>
      <c r="H43" s="599">
        <v>30</v>
      </c>
      <c r="I43" s="609"/>
      <c r="J43" s="2557"/>
      <c r="K43" s="2558"/>
      <c r="L43" s="2559"/>
    </row>
    <row r="44" spans="2:12" ht="39" customHeight="1">
      <c r="B44" s="599">
        <v>31</v>
      </c>
      <c r="C44" s="609"/>
      <c r="D44" s="2557"/>
      <c r="E44" s="2558"/>
      <c r="F44" s="2559"/>
      <c r="G44" s="597"/>
      <c r="H44" s="599">
        <v>31</v>
      </c>
      <c r="I44" s="609"/>
      <c r="J44" s="2557"/>
      <c r="K44" s="2558"/>
      <c r="L44" s="2559"/>
    </row>
    <row r="45" spans="2:12" ht="39" customHeight="1">
      <c r="B45" s="599">
        <v>32</v>
      </c>
      <c r="C45" s="609"/>
      <c r="D45" s="2557"/>
      <c r="E45" s="2558"/>
      <c r="F45" s="2559"/>
      <c r="G45" s="597"/>
      <c r="H45" s="599">
        <v>32</v>
      </c>
      <c r="I45" s="609"/>
      <c r="J45" s="2557"/>
      <c r="K45" s="2558"/>
      <c r="L45" s="2559"/>
    </row>
    <row r="46" spans="2:12" ht="39" customHeight="1">
      <c r="B46" s="599">
        <v>33</v>
      </c>
      <c r="C46" s="609"/>
      <c r="D46" s="2557"/>
      <c r="E46" s="2558"/>
      <c r="F46" s="2559"/>
      <c r="G46" s="597"/>
      <c r="H46" s="599">
        <v>33</v>
      </c>
      <c r="I46" s="609"/>
      <c r="J46" s="2557"/>
      <c r="K46" s="2558"/>
      <c r="L46" s="2559"/>
    </row>
    <row r="47" spans="2:12" ht="39" customHeight="1">
      <c r="B47" s="599">
        <v>34</v>
      </c>
      <c r="C47" s="609"/>
      <c r="D47" s="2557"/>
      <c r="E47" s="2558"/>
      <c r="F47" s="2559"/>
      <c r="G47" s="597"/>
      <c r="H47" s="599">
        <v>34</v>
      </c>
      <c r="I47" s="609"/>
      <c r="J47" s="2557"/>
      <c r="K47" s="2558"/>
      <c r="L47" s="2559"/>
    </row>
    <row r="48" spans="2:12" ht="39" customHeight="1">
      <c r="B48" s="599">
        <v>35</v>
      </c>
      <c r="C48" s="609"/>
      <c r="D48" s="2557"/>
      <c r="E48" s="2558"/>
      <c r="F48" s="2559"/>
      <c r="G48" s="597"/>
      <c r="H48" s="599">
        <v>35</v>
      </c>
      <c r="I48" s="609"/>
      <c r="J48" s="2557"/>
      <c r="K48" s="2558"/>
      <c r="L48" s="2559"/>
    </row>
    <row r="49" spans="2:12" ht="39" customHeight="1">
      <c r="B49" s="599">
        <v>36</v>
      </c>
      <c r="C49" s="609"/>
      <c r="D49" s="2557"/>
      <c r="E49" s="2558"/>
      <c r="F49" s="2559"/>
      <c r="G49" s="597"/>
      <c r="H49" s="599">
        <v>36</v>
      </c>
      <c r="I49" s="609"/>
      <c r="J49" s="2557"/>
      <c r="K49" s="2558"/>
      <c r="L49" s="2559"/>
    </row>
    <row r="50" spans="2:12" ht="39" customHeight="1">
      <c r="B50" s="599">
        <v>37</v>
      </c>
      <c r="C50" s="609"/>
      <c r="D50" s="2557"/>
      <c r="E50" s="2558"/>
      <c r="F50" s="2559"/>
      <c r="G50" s="597"/>
      <c r="H50" s="599">
        <v>37</v>
      </c>
      <c r="I50" s="609"/>
      <c r="J50" s="2557"/>
      <c r="K50" s="2558"/>
      <c r="L50" s="2559"/>
    </row>
    <row r="51" spans="2:12" ht="39" customHeight="1">
      <c r="B51" s="599">
        <v>38</v>
      </c>
      <c r="C51" s="609"/>
      <c r="D51" s="2557"/>
      <c r="E51" s="2558"/>
      <c r="F51" s="2559"/>
      <c r="G51" s="597"/>
      <c r="H51" s="599">
        <v>38</v>
      </c>
      <c r="I51" s="609"/>
      <c r="J51" s="2557"/>
      <c r="K51" s="2558"/>
      <c r="L51" s="2559"/>
    </row>
    <row r="52" spans="2:12" ht="39" customHeight="1">
      <c r="B52" s="599">
        <v>39</v>
      </c>
      <c r="C52" s="609"/>
      <c r="D52" s="2557"/>
      <c r="E52" s="2558"/>
      <c r="F52" s="2559"/>
      <c r="G52" s="597"/>
      <c r="H52" s="599">
        <v>39</v>
      </c>
      <c r="I52" s="609"/>
      <c r="J52" s="2557"/>
      <c r="K52" s="2558"/>
      <c r="L52" s="2559"/>
    </row>
    <row r="53" spans="2:12" ht="39" customHeight="1">
      <c r="B53" s="599">
        <v>40</v>
      </c>
      <c r="C53" s="609"/>
      <c r="D53" s="2557"/>
      <c r="E53" s="2558"/>
      <c r="F53" s="2559"/>
      <c r="G53" s="597"/>
      <c r="H53" s="599">
        <v>40</v>
      </c>
      <c r="I53" s="609"/>
      <c r="J53" s="2557"/>
      <c r="K53" s="2558"/>
      <c r="L53" s="2559"/>
    </row>
    <row r="54" spans="2:12" ht="39" customHeight="1">
      <c r="B54" s="599">
        <v>41</v>
      </c>
      <c r="C54" s="609"/>
      <c r="D54" s="2557"/>
      <c r="E54" s="2558"/>
      <c r="F54" s="2559"/>
      <c r="G54" s="597"/>
      <c r="H54" s="599">
        <v>41</v>
      </c>
      <c r="I54" s="609"/>
      <c r="J54" s="2557"/>
      <c r="K54" s="2558"/>
      <c r="L54" s="2559"/>
    </row>
    <row r="55" spans="2:12" ht="39" customHeight="1">
      <c r="B55" s="599">
        <v>42</v>
      </c>
      <c r="C55" s="609"/>
      <c r="D55" s="2557"/>
      <c r="E55" s="2558"/>
      <c r="F55" s="2559"/>
      <c r="G55" s="597"/>
      <c r="H55" s="599">
        <v>42</v>
      </c>
      <c r="I55" s="609"/>
      <c r="J55" s="2557"/>
      <c r="K55" s="2558"/>
      <c r="L55" s="2559"/>
    </row>
    <row r="56" spans="2:12" ht="39" customHeight="1">
      <c r="B56" s="599">
        <v>43</v>
      </c>
      <c r="C56" s="609"/>
      <c r="D56" s="2557"/>
      <c r="E56" s="2558"/>
      <c r="F56" s="2559"/>
      <c r="G56" s="597"/>
      <c r="H56" s="599">
        <v>43</v>
      </c>
      <c r="I56" s="609"/>
      <c r="J56" s="2557"/>
      <c r="K56" s="2558"/>
      <c r="L56" s="2559"/>
    </row>
    <row r="57" spans="2:12" ht="39" customHeight="1">
      <c r="B57" s="599">
        <v>44</v>
      </c>
      <c r="C57" s="609"/>
      <c r="D57" s="2557"/>
      <c r="E57" s="2558"/>
      <c r="F57" s="2559"/>
      <c r="G57" s="597"/>
      <c r="H57" s="599">
        <v>44</v>
      </c>
      <c r="I57" s="609"/>
      <c r="J57" s="2557"/>
      <c r="K57" s="2558"/>
      <c r="L57" s="2559"/>
    </row>
    <row r="58" spans="2:12" ht="39" customHeight="1">
      <c r="B58" s="599">
        <v>45</v>
      </c>
      <c r="C58" s="609"/>
      <c r="D58" s="2557"/>
      <c r="E58" s="2558"/>
      <c r="F58" s="2559"/>
      <c r="G58" s="597"/>
      <c r="H58" s="599">
        <v>45</v>
      </c>
      <c r="I58" s="609"/>
      <c r="J58" s="2557"/>
      <c r="K58" s="2558"/>
      <c r="L58" s="2559"/>
    </row>
    <row r="59" spans="2:12" ht="39" customHeight="1">
      <c r="B59" s="599">
        <v>46</v>
      </c>
      <c r="C59" s="609"/>
      <c r="D59" s="2557"/>
      <c r="E59" s="2558"/>
      <c r="F59" s="2559"/>
      <c r="G59" s="597"/>
      <c r="H59" s="599">
        <v>46</v>
      </c>
      <c r="I59" s="609"/>
      <c r="J59" s="2557"/>
      <c r="K59" s="2558"/>
      <c r="L59" s="2559"/>
    </row>
    <row r="60" spans="2:12" ht="39" customHeight="1">
      <c r="B60" s="599">
        <v>47</v>
      </c>
      <c r="C60" s="609"/>
      <c r="D60" s="2557"/>
      <c r="E60" s="2558"/>
      <c r="F60" s="2559"/>
      <c r="G60" s="597"/>
      <c r="H60" s="599">
        <v>47</v>
      </c>
      <c r="I60" s="609"/>
      <c r="J60" s="2557"/>
      <c r="K60" s="2558"/>
      <c r="L60" s="2559"/>
    </row>
    <row r="61" spans="2:12" ht="39" customHeight="1">
      <c r="B61" s="599">
        <v>48</v>
      </c>
      <c r="C61" s="609"/>
      <c r="D61" s="2557"/>
      <c r="E61" s="2558"/>
      <c r="F61" s="2559"/>
      <c r="G61" s="597"/>
      <c r="H61" s="599">
        <v>48</v>
      </c>
      <c r="I61" s="609"/>
      <c r="J61" s="2557"/>
      <c r="K61" s="2558"/>
      <c r="L61" s="2559"/>
    </row>
    <row r="62" spans="2:12" ht="39" customHeight="1">
      <c r="B62" s="599">
        <v>49</v>
      </c>
      <c r="C62" s="609"/>
      <c r="D62" s="2557"/>
      <c r="E62" s="2558"/>
      <c r="F62" s="2559"/>
      <c r="G62" s="597"/>
      <c r="H62" s="599">
        <v>49</v>
      </c>
      <c r="I62" s="609"/>
      <c r="J62" s="2557"/>
      <c r="K62" s="2558"/>
      <c r="L62" s="2559"/>
    </row>
    <row r="63" spans="2:12" ht="39" customHeight="1">
      <c r="B63" s="599">
        <v>50</v>
      </c>
      <c r="C63" s="609"/>
      <c r="D63" s="2557"/>
      <c r="E63" s="2558"/>
      <c r="F63" s="2559"/>
      <c r="G63" s="597"/>
      <c r="H63" s="599">
        <v>50</v>
      </c>
      <c r="I63" s="609"/>
      <c r="J63" s="2557"/>
      <c r="K63" s="2558"/>
      <c r="L63" s="2559"/>
    </row>
    <row r="64" spans="2:12" ht="39" customHeight="1">
      <c r="B64" s="599">
        <v>51</v>
      </c>
      <c r="C64" s="609"/>
      <c r="D64" s="2557"/>
      <c r="E64" s="2558"/>
      <c r="F64" s="2559"/>
      <c r="G64" s="597"/>
      <c r="H64" s="599">
        <v>51</v>
      </c>
      <c r="I64" s="609"/>
      <c r="J64" s="2557"/>
      <c r="K64" s="2558"/>
      <c r="L64" s="2559"/>
    </row>
    <row r="65" spans="2:12" ht="39" customHeight="1">
      <c r="B65" s="599">
        <v>52</v>
      </c>
      <c r="C65" s="609"/>
      <c r="D65" s="2557"/>
      <c r="E65" s="2558"/>
      <c r="F65" s="2559"/>
      <c r="G65" s="597"/>
      <c r="H65" s="599">
        <v>52</v>
      </c>
      <c r="I65" s="609"/>
      <c r="J65" s="2557"/>
      <c r="K65" s="2558"/>
      <c r="L65" s="2559"/>
    </row>
    <row r="66" spans="2:12" ht="39" customHeight="1">
      <c r="B66" s="599">
        <v>53</v>
      </c>
      <c r="C66" s="609"/>
      <c r="D66" s="2557"/>
      <c r="E66" s="2558"/>
      <c r="F66" s="2559"/>
      <c r="G66" s="597"/>
      <c r="H66" s="599">
        <v>53</v>
      </c>
      <c r="I66" s="609"/>
      <c r="J66" s="2557"/>
      <c r="K66" s="2558"/>
      <c r="L66" s="2559"/>
    </row>
    <row r="67" spans="2:12" ht="39" customHeight="1">
      <c r="B67" s="599">
        <v>54</v>
      </c>
      <c r="C67" s="609"/>
      <c r="D67" s="2557"/>
      <c r="E67" s="2558"/>
      <c r="F67" s="2559"/>
      <c r="G67" s="597"/>
      <c r="H67" s="599">
        <v>54</v>
      </c>
      <c r="I67" s="609"/>
      <c r="J67" s="2557"/>
      <c r="K67" s="2558"/>
      <c r="L67" s="2559"/>
    </row>
    <row r="68" spans="2:12" ht="39" customHeight="1">
      <c r="B68" s="599">
        <v>55</v>
      </c>
      <c r="C68" s="609"/>
      <c r="D68" s="2557"/>
      <c r="E68" s="2558"/>
      <c r="F68" s="2559"/>
      <c r="G68" s="597"/>
      <c r="H68" s="599">
        <v>55</v>
      </c>
      <c r="I68" s="609"/>
      <c r="J68" s="2557"/>
      <c r="K68" s="2558"/>
      <c r="L68" s="2559"/>
    </row>
    <row r="69" spans="2:12" ht="39" customHeight="1">
      <c r="B69" s="599">
        <v>56</v>
      </c>
      <c r="C69" s="609"/>
      <c r="D69" s="2557"/>
      <c r="E69" s="2558"/>
      <c r="F69" s="2559"/>
      <c r="G69" s="597"/>
      <c r="H69" s="599">
        <v>56</v>
      </c>
      <c r="I69" s="609"/>
      <c r="J69" s="2557"/>
      <c r="K69" s="2558"/>
      <c r="L69" s="2559"/>
    </row>
    <row r="70" spans="2:12" ht="39" customHeight="1">
      <c r="B70" s="599">
        <v>57</v>
      </c>
      <c r="C70" s="609"/>
      <c r="D70" s="2557"/>
      <c r="E70" s="2558"/>
      <c r="F70" s="2559"/>
      <c r="G70" s="597"/>
      <c r="H70" s="599">
        <v>57</v>
      </c>
      <c r="I70" s="609"/>
      <c r="J70" s="2557"/>
      <c r="K70" s="2558"/>
      <c r="L70" s="2559"/>
    </row>
    <row r="71" spans="2:12" ht="39" customHeight="1">
      <c r="B71" s="599">
        <v>58</v>
      </c>
      <c r="C71" s="609"/>
      <c r="D71" s="2557"/>
      <c r="E71" s="2558"/>
      <c r="F71" s="2559"/>
      <c r="G71" s="597"/>
      <c r="H71" s="599">
        <v>58</v>
      </c>
      <c r="I71" s="609"/>
      <c r="J71" s="2557"/>
      <c r="K71" s="2558"/>
      <c r="L71" s="2559"/>
    </row>
    <row r="72" spans="2:12" ht="39" customHeight="1">
      <c r="B72" s="599">
        <v>59</v>
      </c>
      <c r="C72" s="609"/>
      <c r="D72" s="2557"/>
      <c r="E72" s="2558"/>
      <c r="F72" s="2559"/>
      <c r="G72" s="597"/>
      <c r="H72" s="599">
        <v>59</v>
      </c>
      <c r="I72" s="609"/>
      <c r="J72" s="2557"/>
      <c r="K72" s="2558"/>
      <c r="L72" s="2559"/>
    </row>
    <row r="73" spans="2:12" ht="39" customHeight="1">
      <c r="B73" s="599">
        <v>60</v>
      </c>
      <c r="C73" s="609"/>
      <c r="D73" s="2557"/>
      <c r="E73" s="2558"/>
      <c r="F73" s="2559"/>
      <c r="G73" s="597"/>
      <c r="H73" s="599">
        <v>60</v>
      </c>
      <c r="I73" s="609"/>
      <c r="J73" s="2557"/>
      <c r="K73" s="2558"/>
      <c r="L73" s="2559"/>
    </row>
    <row r="74" spans="2:12" ht="39" customHeight="1">
      <c r="B74" s="599">
        <v>61</v>
      </c>
      <c r="C74" s="609"/>
      <c r="D74" s="2557"/>
      <c r="E74" s="2558"/>
      <c r="F74" s="2559"/>
      <c r="G74" s="597"/>
      <c r="H74" s="599">
        <v>61</v>
      </c>
      <c r="I74" s="609"/>
      <c r="J74" s="2557"/>
      <c r="K74" s="2558"/>
      <c r="L74" s="2559"/>
    </row>
    <row r="75" spans="2:12" ht="39" customHeight="1">
      <c r="B75" s="599">
        <v>62</v>
      </c>
      <c r="C75" s="609"/>
      <c r="D75" s="2557"/>
      <c r="E75" s="2558"/>
      <c r="F75" s="2559"/>
      <c r="G75" s="597"/>
      <c r="H75" s="599">
        <v>62</v>
      </c>
      <c r="I75" s="609"/>
      <c r="J75" s="2557"/>
      <c r="K75" s="2558"/>
      <c r="L75" s="2559"/>
    </row>
    <row r="76" spans="2:12" ht="39" customHeight="1">
      <c r="B76" s="599">
        <v>63</v>
      </c>
      <c r="C76" s="609"/>
      <c r="D76" s="2557"/>
      <c r="E76" s="2558"/>
      <c r="F76" s="2559"/>
      <c r="G76" s="597"/>
      <c r="H76" s="599">
        <v>63</v>
      </c>
      <c r="I76" s="609"/>
      <c r="J76" s="2557"/>
      <c r="K76" s="2558"/>
      <c r="L76" s="2559"/>
    </row>
    <row r="77" spans="2:12" ht="39" customHeight="1">
      <c r="B77" s="599">
        <v>64</v>
      </c>
      <c r="C77" s="609"/>
      <c r="D77" s="2557"/>
      <c r="E77" s="2558"/>
      <c r="F77" s="2559"/>
      <c r="G77" s="597"/>
      <c r="H77" s="599">
        <v>64</v>
      </c>
      <c r="I77" s="609"/>
      <c r="J77" s="2557"/>
      <c r="K77" s="2558"/>
      <c r="L77" s="2559"/>
    </row>
    <row r="78" spans="2:12" ht="39" customHeight="1">
      <c r="B78" s="599">
        <v>65</v>
      </c>
      <c r="C78" s="609"/>
      <c r="D78" s="2557"/>
      <c r="E78" s="2558"/>
      <c r="F78" s="2559"/>
      <c r="G78" s="597"/>
      <c r="H78" s="599">
        <v>65</v>
      </c>
      <c r="I78" s="609"/>
      <c r="J78" s="2557"/>
      <c r="K78" s="2558"/>
      <c r="L78" s="2559"/>
    </row>
    <row r="79" spans="2:12" ht="39" customHeight="1">
      <c r="B79" s="599">
        <v>66</v>
      </c>
      <c r="C79" s="609"/>
      <c r="D79" s="2557"/>
      <c r="E79" s="2558"/>
      <c r="F79" s="2559"/>
      <c r="G79" s="597"/>
      <c r="H79" s="599">
        <v>66</v>
      </c>
      <c r="I79" s="609"/>
      <c r="J79" s="2557"/>
      <c r="K79" s="2558"/>
      <c r="L79" s="2559"/>
    </row>
    <row r="80" spans="2:12" ht="39" customHeight="1">
      <c r="B80" s="599">
        <v>67</v>
      </c>
      <c r="C80" s="609"/>
      <c r="D80" s="2557"/>
      <c r="E80" s="2558"/>
      <c r="F80" s="2559"/>
      <c r="G80" s="597"/>
      <c r="H80" s="599">
        <v>67</v>
      </c>
      <c r="I80" s="609"/>
      <c r="J80" s="2557"/>
      <c r="K80" s="2558"/>
      <c r="L80" s="2559"/>
    </row>
    <row r="81" spans="2:12" ht="39" customHeight="1">
      <c r="B81" s="599">
        <v>68</v>
      </c>
      <c r="C81" s="609"/>
      <c r="D81" s="2557"/>
      <c r="E81" s="2558"/>
      <c r="F81" s="2559"/>
      <c r="G81" s="597"/>
      <c r="H81" s="599">
        <v>68</v>
      </c>
      <c r="I81" s="609"/>
      <c r="J81" s="2557"/>
      <c r="K81" s="2558"/>
      <c r="L81" s="2559"/>
    </row>
    <row r="82" spans="2:12" ht="39" customHeight="1">
      <c r="B82" s="599">
        <v>69</v>
      </c>
      <c r="C82" s="609"/>
      <c r="D82" s="2557"/>
      <c r="E82" s="2558"/>
      <c r="F82" s="2559"/>
      <c r="G82" s="597"/>
      <c r="H82" s="599">
        <v>69</v>
      </c>
      <c r="I82" s="609"/>
      <c r="J82" s="2557"/>
      <c r="K82" s="2558"/>
      <c r="L82" s="2559"/>
    </row>
    <row r="83" spans="2:12" ht="39" customHeight="1">
      <c r="B83" s="599">
        <v>70</v>
      </c>
      <c r="C83" s="609"/>
      <c r="D83" s="2557"/>
      <c r="E83" s="2558"/>
      <c r="F83" s="2559"/>
      <c r="G83" s="597"/>
      <c r="H83" s="599">
        <v>70</v>
      </c>
      <c r="I83" s="609"/>
      <c r="J83" s="2557"/>
      <c r="K83" s="2558"/>
      <c r="L83" s="2559"/>
    </row>
    <row r="84" spans="2:12" ht="39" customHeight="1">
      <c r="B84" s="599">
        <v>71</v>
      </c>
      <c r="C84" s="609"/>
      <c r="D84" s="2557"/>
      <c r="E84" s="2558"/>
      <c r="F84" s="2559"/>
      <c r="G84" s="597"/>
      <c r="H84" s="599">
        <v>71</v>
      </c>
      <c r="I84" s="609"/>
      <c r="J84" s="2557"/>
      <c r="K84" s="2558"/>
      <c r="L84" s="2559"/>
    </row>
    <row r="85" spans="2:12" ht="39" customHeight="1">
      <c r="B85" s="599">
        <v>72</v>
      </c>
      <c r="C85" s="609"/>
      <c r="D85" s="2557"/>
      <c r="E85" s="2558"/>
      <c r="F85" s="2559"/>
      <c r="G85" s="597"/>
      <c r="H85" s="599">
        <v>72</v>
      </c>
      <c r="I85" s="609"/>
      <c r="J85" s="2557"/>
      <c r="K85" s="2558"/>
      <c r="L85" s="2559"/>
    </row>
    <row r="86" spans="2:12" ht="39" customHeight="1">
      <c r="B86" s="599">
        <v>73</v>
      </c>
      <c r="C86" s="609"/>
      <c r="D86" s="2557"/>
      <c r="E86" s="2558"/>
      <c r="F86" s="2559"/>
      <c r="G86" s="597"/>
      <c r="H86" s="599">
        <v>73</v>
      </c>
      <c r="I86" s="609"/>
      <c r="J86" s="2557"/>
      <c r="K86" s="2558"/>
      <c r="L86" s="2559"/>
    </row>
    <row r="87" spans="2:12" ht="39" customHeight="1">
      <c r="B87" s="599">
        <v>74</v>
      </c>
      <c r="C87" s="609"/>
      <c r="D87" s="2557"/>
      <c r="E87" s="2558"/>
      <c r="F87" s="2559"/>
      <c r="G87" s="597"/>
      <c r="H87" s="599">
        <v>74</v>
      </c>
      <c r="I87" s="609"/>
      <c r="J87" s="2557"/>
      <c r="K87" s="2558"/>
      <c r="L87" s="2559"/>
    </row>
    <row r="88" spans="2:12" ht="39" customHeight="1">
      <c r="B88" s="599">
        <v>75</v>
      </c>
      <c r="C88" s="609"/>
      <c r="D88" s="2557"/>
      <c r="E88" s="2558"/>
      <c r="F88" s="2559"/>
      <c r="G88" s="597"/>
      <c r="H88" s="599">
        <v>75</v>
      </c>
      <c r="I88" s="609"/>
      <c r="J88" s="2557"/>
      <c r="K88" s="2558"/>
      <c r="L88" s="2559"/>
    </row>
    <row r="89" spans="2:12" ht="39" customHeight="1">
      <c r="B89" s="599">
        <v>76</v>
      </c>
      <c r="C89" s="609"/>
      <c r="D89" s="2557"/>
      <c r="E89" s="2558"/>
      <c r="F89" s="2559"/>
      <c r="G89" s="597"/>
      <c r="H89" s="599">
        <v>76</v>
      </c>
      <c r="I89" s="609"/>
      <c r="J89" s="2557"/>
      <c r="K89" s="2558"/>
      <c r="L89" s="2559"/>
    </row>
    <row r="90" spans="2:12" ht="39" customHeight="1">
      <c r="B90" s="599">
        <v>77</v>
      </c>
      <c r="C90" s="609"/>
      <c r="D90" s="2557"/>
      <c r="E90" s="2558"/>
      <c r="F90" s="2559"/>
      <c r="G90" s="597"/>
      <c r="H90" s="599">
        <v>77</v>
      </c>
      <c r="I90" s="609"/>
      <c r="J90" s="2557"/>
      <c r="K90" s="2558"/>
      <c r="L90" s="2559"/>
    </row>
    <row r="91" spans="2:12" ht="39" customHeight="1">
      <c r="B91" s="599">
        <v>78</v>
      </c>
      <c r="C91" s="609"/>
      <c r="D91" s="2557"/>
      <c r="E91" s="2558"/>
      <c r="F91" s="2559"/>
      <c r="G91" s="597"/>
      <c r="H91" s="599">
        <v>78</v>
      </c>
      <c r="I91" s="609"/>
      <c r="J91" s="2557"/>
      <c r="K91" s="2558"/>
      <c r="L91" s="2559"/>
    </row>
    <row r="92" spans="2:12" ht="39" customHeight="1">
      <c r="B92" s="599">
        <v>79</v>
      </c>
      <c r="C92" s="609"/>
      <c r="D92" s="2557"/>
      <c r="E92" s="2558"/>
      <c r="F92" s="2559"/>
      <c r="G92" s="597"/>
      <c r="H92" s="599">
        <v>79</v>
      </c>
      <c r="I92" s="609"/>
      <c r="J92" s="2557"/>
      <c r="K92" s="2558"/>
      <c r="L92" s="2559"/>
    </row>
    <row r="93" spans="2:12" ht="39" customHeight="1">
      <c r="B93" s="599">
        <v>80</v>
      </c>
      <c r="C93" s="609"/>
      <c r="D93" s="2557"/>
      <c r="E93" s="2558"/>
      <c r="F93" s="2559"/>
      <c r="G93" s="597"/>
      <c r="H93" s="599">
        <v>80</v>
      </c>
      <c r="I93" s="609"/>
      <c r="J93" s="2557"/>
      <c r="K93" s="2558"/>
      <c r="L93" s="2559"/>
    </row>
    <row r="94" spans="2:12" ht="39" customHeight="1">
      <c r="B94" s="599">
        <v>81</v>
      </c>
      <c r="C94" s="609"/>
      <c r="D94" s="2557"/>
      <c r="E94" s="2558"/>
      <c r="F94" s="2559"/>
      <c r="G94" s="597"/>
      <c r="H94" s="599">
        <v>81</v>
      </c>
      <c r="I94" s="609"/>
      <c r="J94" s="2557"/>
      <c r="K94" s="2558"/>
      <c r="L94" s="2559"/>
    </row>
    <row r="95" spans="2:12" ht="39" customHeight="1">
      <c r="B95" s="599">
        <v>82</v>
      </c>
      <c r="C95" s="609"/>
      <c r="D95" s="2557"/>
      <c r="E95" s="2558"/>
      <c r="F95" s="2559"/>
      <c r="G95" s="597"/>
      <c r="H95" s="599">
        <v>82</v>
      </c>
      <c r="I95" s="609"/>
      <c r="J95" s="2557"/>
      <c r="K95" s="2558"/>
      <c r="L95" s="2559"/>
    </row>
    <row r="96" spans="2:12" ht="39" customHeight="1">
      <c r="B96" s="599">
        <v>83</v>
      </c>
      <c r="C96" s="609"/>
      <c r="D96" s="2557"/>
      <c r="E96" s="2558"/>
      <c r="F96" s="2559"/>
      <c r="G96" s="597"/>
      <c r="H96" s="599">
        <v>83</v>
      </c>
      <c r="I96" s="609"/>
      <c r="J96" s="2557"/>
      <c r="K96" s="2558"/>
      <c r="L96" s="2559"/>
    </row>
    <row r="97" spans="2:12" ht="39" customHeight="1">
      <c r="B97" s="599">
        <v>84</v>
      </c>
      <c r="C97" s="609"/>
      <c r="D97" s="2557"/>
      <c r="E97" s="2558"/>
      <c r="F97" s="2559"/>
      <c r="G97" s="597"/>
      <c r="H97" s="599">
        <v>84</v>
      </c>
      <c r="I97" s="609"/>
      <c r="J97" s="2557"/>
      <c r="K97" s="2558"/>
      <c r="L97" s="2559"/>
    </row>
    <row r="98" spans="2:12" ht="39" customHeight="1">
      <c r="B98" s="599">
        <v>85</v>
      </c>
      <c r="C98" s="609"/>
      <c r="D98" s="2557"/>
      <c r="E98" s="2558"/>
      <c r="F98" s="2559"/>
      <c r="G98" s="597"/>
      <c r="H98" s="599">
        <v>85</v>
      </c>
      <c r="I98" s="609"/>
      <c r="J98" s="2557"/>
      <c r="K98" s="2558"/>
      <c r="L98" s="2559"/>
    </row>
    <row r="99" spans="2:12" ht="39" customHeight="1">
      <c r="B99" s="599">
        <v>86</v>
      </c>
      <c r="C99" s="609"/>
      <c r="D99" s="2557"/>
      <c r="E99" s="2558"/>
      <c r="F99" s="2559"/>
      <c r="G99" s="597"/>
      <c r="H99" s="599">
        <v>86</v>
      </c>
      <c r="I99" s="609"/>
      <c r="J99" s="2557"/>
      <c r="K99" s="2558"/>
      <c r="L99" s="2559"/>
    </row>
    <row r="100" spans="2:12" ht="39" customHeight="1">
      <c r="B100" s="599">
        <v>87</v>
      </c>
      <c r="C100" s="609"/>
      <c r="D100" s="2557"/>
      <c r="E100" s="2558"/>
      <c r="F100" s="2559"/>
      <c r="G100" s="597"/>
      <c r="H100" s="599">
        <v>87</v>
      </c>
      <c r="I100" s="609"/>
      <c r="J100" s="2557"/>
      <c r="K100" s="2558"/>
      <c r="L100" s="2559"/>
    </row>
    <row r="101" spans="2:12" ht="39" customHeight="1">
      <c r="B101" s="599">
        <v>88</v>
      </c>
      <c r="C101" s="609"/>
      <c r="D101" s="2557"/>
      <c r="E101" s="2558"/>
      <c r="F101" s="2559"/>
      <c r="G101" s="597"/>
      <c r="H101" s="599">
        <v>88</v>
      </c>
      <c r="I101" s="609"/>
      <c r="J101" s="2557"/>
      <c r="K101" s="2558"/>
      <c r="L101" s="2559"/>
    </row>
    <row r="102" spans="2:12" ht="39" customHeight="1">
      <c r="B102" s="599">
        <v>89</v>
      </c>
      <c r="C102" s="609"/>
      <c r="D102" s="2557"/>
      <c r="E102" s="2558"/>
      <c r="F102" s="2559"/>
      <c r="G102" s="597"/>
      <c r="H102" s="599">
        <v>89</v>
      </c>
      <c r="I102" s="609"/>
      <c r="J102" s="2557"/>
      <c r="K102" s="2558"/>
      <c r="L102" s="2559"/>
    </row>
    <row r="103" spans="2:12" ht="39" customHeight="1">
      <c r="B103" s="599">
        <v>90</v>
      </c>
      <c r="C103" s="609"/>
      <c r="D103" s="2557"/>
      <c r="E103" s="2558"/>
      <c r="F103" s="2559"/>
      <c r="G103" s="597"/>
      <c r="H103" s="599">
        <v>90</v>
      </c>
      <c r="I103" s="609"/>
      <c r="J103" s="2557"/>
      <c r="K103" s="2558"/>
      <c r="L103" s="2559"/>
    </row>
    <row r="104" spans="2:12" ht="39" customHeight="1">
      <c r="B104" s="599">
        <v>91</v>
      </c>
      <c r="C104" s="609"/>
      <c r="D104" s="2557"/>
      <c r="E104" s="2558"/>
      <c r="F104" s="2559"/>
      <c r="G104" s="597"/>
      <c r="H104" s="599">
        <v>91</v>
      </c>
      <c r="I104" s="609"/>
      <c r="J104" s="2557"/>
      <c r="K104" s="2558"/>
      <c r="L104" s="2559"/>
    </row>
    <row r="105" spans="2:12" ht="39" customHeight="1">
      <c r="B105" s="599">
        <v>92</v>
      </c>
      <c r="C105" s="609"/>
      <c r="D105" s="2557"/>
      <c r="E105" s="2558"/>
      <c r="F105" s="2559"/>
      <c r="G105" s="597"/>
      <c r="H105" s="599">
        <v>92</v>
      </c>
      <c r="I105" s="609"/>
      <c r="J105" s="2557"/>
      <c r="K105" s="2558"/>
      <c r="L105" s="2559"/>
    </row>
    <row r="106" spans="2:12" ht="39" customHeight="1">
      <c r="B106" s="599">
        <v>93</v>
      </c>
      <c r="C106" s="609"/>
      <c r="D106" s="2557"/>
      <c r="E106" s="2558"/>
      <c r="F106" s="2559"/>
      <c r="G106" s="597"/>
      <c r="H106" s="599">
        <v>93</v>
      </c>
      <c r="I106" s="609"/>
      <c r="J106" s="2557"/>
      <c r="K106" s="2558"/>
      <c r="L106" s="2559"/>
    </row>
    <row r="107" spans="2:12" ht="39" customHeight="1">
      <c r="B107" s="599">
        <v>94</v>
      </c>
      <c r="C107" s="609"/>
      <c r="D107" s="2557"/>
      <c r="E107" s="2558"/>
      <c r="F107" s="2559"/>
      <c r="G107" s="597"/>
      <c r="H107" s="599">
        <v>94</v>
      </c>
      <c r="I107" s="609"/>
      <c r="J107" s="2557"/>
      <c r="K107" s="2558"/>
      <c r="L107" s="2559"/>
    </row>
    <row r="108" spans="2:12" ht="39" customHeight="1">
      <c r="B108" s="599">
        <v>95</v>
      </c>
      <c r="C108" s="609"/>
      <c r="D108" s="2557"/>
      <c r="E108" s="2558"/>
      <c r="F108" s="2559"/>
      <c r="G108" s="597"/>
      <c r="H108" s="599">
        <v>95</v>
      </c>
      <c r="I108" s="609"/>
      <c r="J108" s="2557"/>
      <c r="K108" s="2558"/>
      <c r="L108" s="2559"/>
    </row>
    <row r="109" spans="2:12" ht="39" customHeight="1">
      <c r="B109" s="599">
        <v>96</v>
      </c>
      <c r="C109" s="609"/>
      <c r="D109" s="2557"/>
      <c r="E109" s="2558"/>
      <c r="F109" s="2559"/>
      <c r="G109" s="597"/>
      <c r="H109" s="599">
        <v>96</v>
      </c>
      <c r="I109" s="609"/>
      <c r="J109" s="2557"/>
      <c r="K109" s="2558"/>
      <c r="L109" s="2559"/>
    </row>
    <row r="110" spans="2:12" ht="39" customHeight="1">
      <c r="B110" s="599">
        <v>97</v>
      </c>
      <c r="C110" s="609"/>
      <c r="D110" s="2557"/>
      <c r="E110" s="2558"/>
      <c r="F110" s="2559"/>
      <c r="G110" s="597"/>
      <c r="H110" s="599">
        <v>97</v>
      </c>
      <c r="I110" s="609"/>
      <c r="J110" s="2557"/>
      <c r="K110" s="2558"/>
      <c r="L110" s="2559"/>
    </row>
    <row r="111" spans="2:12" ht="39" customHeight="1">
      <c r="B111" s="599">
        <v>98</v>
      </c>
      <c r="C111" s="609"/>
      <c r="D111" s="2557"/>
      <c r="E111" s="2558"/>
      <c r="F111" s="2559"/>
      <c r="G111" s="597"/>
      <c r="H111" s="599">
        <v>98</v>
      </c>
      <c r="I111" s="609"/>
      <c r="J111" s="2557"/>
      <c r="K111" s="2558"/>
      <c r="L111" s="2559"/>
    </row>
    <row r="112" spans="2:12" ht="39" customHeight="1">
      <c r="B112" s="599">
        <v>99</v>
      </c>
      <c r="C112" s="609"/>
      <c r="D112" s="2557"/>
      <c r="E112" s="2558"/>
      <c r="F112" s="2559"/>
      <c r="G112" s="597"/>
      <c r="H112" s="599">
        <v>99</v>
      </c>
      <c r="I112" s="609"/>
      <c r="J112" s="2557"/>
      <c r="K112" s="2558"/>
      <c r="L112" s="2559"/>
    </row>
    <row r="113" spans="2:12" ht="39" customHeight="1">
      <c r="B113" s="601">
        <v>100</v>
      </c>
      <c r="C113" s="610"/>
      <c r="D113" s="2564"/>
      <c r="E113" s="2565"/>
      <c r="F113" s="2566"/>
      <c r="G113" s="597"/>
      <c r="H113" s="601">
        <v>100</v>
      </c>
      <c r="I113" s="610"/>
      <c r="J113" s="2564"/>
      <c r="K113" s="2565"/>
      <c r="L113" s="2566"/>
    </row>
  </sheetData>
  <mergeCells count="204">
    <mergeCell ref="D112:F112"/>
    <mergeCell ref="J112:L112"/>
    <mergeCell ref="D108:F108"/>
    <mergeCell ref="J108:L108"/>
    <mergeCell ref="D113:F113"/>
    <mergeCell ref="J113:L113"/>
    <mergeCell ref="D109:F109"/>
    <mergeCell ref="J109:L109"/>
    <mergeCell ref="D110:F110"/>
    <mergeCell ref="J110:L110"/>
    <mergeCell ref="D111:F111"/>
    <mergeCell ref="J111:L111"/>
    <mergeCell ref="D106:F106"/>
    <mergeCell ref="J106:L106"/>
    <mergeCell ref="D105:F105"/>
    <mergeCell ref="J105:L105"/>
    <mergeCell ref="D107:F107"/>
    <mergeCell ref="J107:L107"/>
    <mergeCell ref="D102:F102"/>
    <mergeCell ref="J102:L102"/>
    <mergeCell ref="D103:F103"/>
    <mergeCell ref="J103:L103"/>
    <mergeCell ref="D104:F104"/>
    <mergeCell ref="J104:L104"/>
    <mergeCell ref="D100:F100"/>
    <mergeCell ref="J100:L100"/>
    <mergeCell ref="D101:F101"/>
    <mergeCell ref="J101:L101"/>
    <mergeCell ref="D98:F98"/>
    <mergeCell ref="J98:L98"/>
    <mergeCell ref="D99:F99"/>
    <mergeCell ref="J99:L99"/>
    <mergeCell ref="D94:F94"/>
    <mergeCell ref="J94:L94"/>
    <mergeCell ref="D95:F95"/>
    <mergeCell ref="J95:L95"/>
    <mergeCell ref="D96:F96"/>
    <mergeCell ref="J96:L96"/>
    <mergeCell ref="D97:F97"/>
    <mergeCell ref="J97:L97"/>
    <mergeCell ref="D90:F90"/>
    <mergeCell ref="J90:L90"/>
    <mergeCell ref="D91:F91"/>
    <mergeCell ref="J91:L91"/>
    <mergeCell ref="D92:F92"/>
    <mergeCell ref="J92:L92"/>
    <mergeCell ref="D93:F93"/>
    <mergeCell ref="J93:L93"/>
    <mergeCell ref="D86:F86"/>
    <mergeCell ref="J86:L86"/>
    <mergeCell ref="D87:F87"/>
    <mergeCell ref="J87:L87"/>
    <mergeCell ref="D88:F88"/>
    <mergeCell ref="J88:L88"/>
    <mergeCell ref="D89:F89"/>
    <mergeCell ref="J89:L89"/>
    <mergeCell ref="D82:F82"/>
    <mergeCell ref="J82:L82"/>
    <mergeCell ref="D83:F83"/>
    <mergeCell ref="J83:L83"/>
    <mergeCell ref="D84:F84"/>
    <mergeCell ref="J84:L84"/>
    <mergeCell ref="D85:F85"/>
    <mergeCell ref="J85:L85"/>
    <mergeCell ref="D78:F78"/>
    <mergeCell ref="J78:L78"/>
    <mergeCell ref="D79:F79"/>
    <mergeCell ref="J79:L79"/>
    <mergeCell ref="D80:F80"/>
    <mergeCell ref="J80:L80"/>
    <mergeCell ref="D81:F81"/>
    <mergeCell ref="J81:L81"/>
    <mergeCell ref="D74:F74"/>
    <mergeCell ref="J74:L74"/>
    <mergeCell ref="D75:F75"/>
    <mergeCell ref="J75:L75"/>
    <mergeCell ref="D76:F76"/>
    <mergeCell ref="J76:L76"/>
    <mergeCell ref="D77:F77"/>
    <mergeCell ref="J77:L77"/>
    <mergeCell ref="D70:F70"/>
    <mergeCell ref="J70:L70"/>
    <mergeCell ref="D71:F71"/>
    <mergeCell ref="J71:L71"/>
    <mergeCell ref="D72:F72"/>
    <mergeCell ref="J72:L72"/>
    <mergeCell ref="D73:F73"/>
    <mergeCell ref="J73:L73"/>
    <mergeCell ref="D66:F66"/>
    <mergeCell ref="J66:L66"/>
    <mergeCell ref="D67:F67"/>
    <mergeCell ref="J67:L67"/>
    <mergeCell ref="D68:F68"/>
    <mergeCell ref="J68:L68"/>
    <mergeCell ref="D69:F69"/>
    <mergeCell ref="J69:L69"/>
    <mergeCell ref="D62:F62"/>
    <mergeCell ref="J62:L62"/>
    <mergeCell ref="D63:F63"/>
    <mergeCell ref="J63:L63"/>
    <mergeCell ref="D64:F64"/>
    <mergeCell ref="J64:L64"/>
    <mergeCell ref="D65:F65"/>
    <mergeCell ref="J65:L65"/>
    <mergeCell ref="D58:F58"/>
    <mergeCell ref="J58:L58"/>
    <mergeCell ref="D59:F59"/>
    <mergeCell ref="J59:L59"/>
    <mergeCell ref="D60:F60"/>
    <mergeCell ref="J60:L60"/>
    <mergeCell ref="D61:F61"/>
    <mergeCell ref="J61:L61"/>
    <mergeCell ref="D54:F54"/>
    <mergeCell ref="J54:L54"/>
    <mergeCell ref="D55:F55"/>
    <mergeCell ref="J55:L55"/>
    <mergeCell ref="D56:F56"/>
    <mergeCell ref="J56:L56"/>
    <mergeCell ref="D57:F57"/>
    <mergeCell ref="J57:L57"/>
    <mergeCell ref="D50:F50"/>
    <mergeCell ref="J50:L50"/>
    <mergeCell ref="D51:F51"/>
    <mergeCell ref="J51:L51"/>
    <mergeCell ref="D52:F52"/>
    <mergeCell ref="J52:L52"/>
    <mergeCell ref="D53:F53"/>
    <mergeCell ref="J53:L53"/>
    <mergeCell ref="D46:F46"/>
    <mergeCell ref="J46:L46"/>
    <mergeCell ref="D47:F47"/>
    <mergeCell ref="J47:L47"/>
    <mergeCell ref="D48:F48"/>
    <mergeCell ref="J48:L48"/>
    <mergeCell ref="D49:F49"/>
    <mergeCell ref="J49:L49"/>
    <mergeCell ref="D42:F42"/>
    <mergeCell ref="J42:L42"/>
    <mergeCell ref="D43:F43"/>
    <mergeCell ref="J43:L43"/>
    <mergeCell ref="D44:F44"/>
    <mergeCell ref="J44:L44"/>
    <mergeCell ref="D45:F45"/>
    <mergeCell ref="J45:L45"/>
    <mergeCell ref="D38:F38"/>
    <mergeCell ref="J38:L38"/>
    <mergeCell ref="D39:F39"/>
    <mergeCell ref="J39:L39"/>
    <mergeCell ref="D40:F40"/>
    <mergeCell ref="J40:L40"/>
    <mergeCell ref="D41:F41"/>
    <mergeCell ref="J41:L41"/>
    <mergeCell ref="D35:F35"/>
    <mergeCell ref="J35:L35"/>
    <mergeCell ref="D36:F36"/>
    <mergeCell ref="J36:L36"/>
    <mergeCell ref="D37:F37"/>
    <mergeCell ref="J37:L37"/>
    <mergeCell ref="D28:F28"/>
    <mergeCell ref="J28:L28"/>
    <mergeCell ref="D29:F29"/>
    <mergeCell ref="D24:F24"/>
    <mergeCell ref="J24:L24"/>
    <mergeCell ref="D22:F22"/>
    <mergeCell ref="D23:F23"/>
    <mergeCell ref="D18:F18"/>
    <mergeCell ref="D19:F19"/>
    <mergeCell ref="J22:L22"/>
    <mergeCell ref="D34:F34"/>
    <mergeCell ref="J34:L34"/>
    <mergeCell ref="D25:F25"/>
    <mergeCell ref="J25:L25"/>
    <mergeCell ref="J29:L29"/>
    <mergeCell ref="D27:F27"/>
    <mergeCell ref="J27:L27"/>
    <mergeCell ref="D33:F33"/>
    <mergeCell ref="J33:L33"/>
    <mergeCell ref="D30:F30"/>
    <mergeCell ref="J30:L30"/>
    <mergeCell ref="D31:F31"/>
    <mergeCell ref="J31:L31"/>
    <mergeCell ref="D32:F32"/>
    <mergeCell ref="J32:L32"/>
    <mergeCell ref="D26:F26"/>
    <mergeCell ref="J26:L26"/>
    <mergeCell ref="J23:L23"/>
    <mergeCell ref="J14:L14"/>
    <mergeCell ref="J15:L15"/>
    <mergeCell ref="J16:L16"/>
    <mergeCell ref="J17:L17"/>
    <mergeCell ref="B3:C3"/>
    <mergeCell ref="D3:H3"/>
    <mergeCell ref="D20:F20"/>
    <mergeCell ref="D21:F21"/>
    <mergeCell ref="D14:F14"/>
    <mergeCell ref="D15:F15"/>
    <mergeCell ref="D16:F16"/>
    <mergeCell ref="D17:F17"/>
    <mergeCell ref="B13:F13"/>
    <mergeCell ref="H13:L13"/>
    <mergeCell ref="J20:L20"/>
    <mergeCell ref="J21:L21"/>
    <mergeCell ref="J18:L18"/>
    <mergeCell ref="J19:L19"/>
  </mergeCells>
  <phoneticPr fontId="5"/>
  <dataValidations count="3">
    <dataValidation type="list" allowBlank="1" showInputMessage="1" showErrorMessage="1" sqref="G11:G12" xr:uid="{00000000-0002-0000-0A00-000000000000}">
      <formula1>$N$10:$N$12</formula1>
    </dataValidation>
    <dataValidation type="list" allowBlank="1" showInputMessage="1" showErrorMessage="1" sqref="F11 L11" xr:uid="{00000000-0002-0000-0A00-000001000000}">
      <formula1>補償方法選択</formula1>
    </dataValidation>
    <dataValidation type="whole" allowBlank="1" showInputMessage="1" showErrorMessage="1" sqref="F12 L12" xr:uid="{00000000-0002-0000-0A00-000002000000}">
      <formula1>1</formula1>
      <formula2>100</formula2>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sheetPr>
  <dimension ref="A1:M89"/>
  <sheetViews>
    <sheetView showGridLines="0" topLeftCell="A2" zoomScale="85" zoomScaleNormal="85" zoomScaleSheetLayoutView="100" workbookViewId="0">
      <selection activeCell="K18" sqref="K18"/>
    </sheetView>
  </sheetViews>
  <sheetFormatPr defaultRowHeight="13.5"/>
  <cols>
    <col min="1" max="1" width="4.375" style="736" customWidth="1"/>
    <col min="2" max="2" width="4.75" style="736" customWidth="1"/>
    <col min="3" max="3" width="16.25" style="734" customWidth="1"/>
    <col min="4" max="4" width="21" style="735" customWidth="1"/>
    <col min="5" max="5" width="40.875" style="735" customWidth="1"/>
    <col min="6" max="6" width="6" style="735" customWidth="1"/>
    <col min="7" max="7" width="32.875" style="735" customWidth="1"/>
    <col min="8" max="8" width="4.125" style="735" customWidth="1"/>
    <col min="9" max="9" width="32.875" style="735" hidden="1" customWidth="1"/>
    <col min="10" max="10" width="4.125" style="735" hidden="1" customWidth="1"/>
    <col min="11" max="11" width="19.625" style="735" customWidth="1"/>
    <col min="12" max="13" width="9" style="735"/>
    <col min="14" max="16384" width="9" style="736"/>
  </cols>
  <sheetData>
    <row r="1" spans="1:13" ht="10.5" hidden="1" customHeight="1">
      <c r="A1" s="808" t="s">
        <v>642</v>
      </c>
      <c r="B1" s="808"/>
      <c r="C1" s="809" t="s">
        <v>643</v>
      </c>
      <c r="D1" s="808"/>
      <c r="G1" s="49"/>
      <c r="H1" s="49"/>
      <c r="I1" s="49"/>
      <c r="J1" s="1683"/>
      <c r="K1" s="49"/>
    </row>
    <row r="2" spans="1:13" ht="15.75" customHeight="1">
      <c r="A2" s="49"/>
      <c r="B2" s="49"/>
      <c r="C2" s="49"/>
      <c r="D2" s="49"/>
      <c r="E2" s="49"/>
      <c r="F2" s="49"/>
      <c r="G2" s="49"/>
      <c r="H2" s="49"/>
      <c r="I2" s="49"/>
      <c r="J2" s="74"/>
      <c r="K2" s="49"/>
    </row>
    <row r="3" spans="1:13" ht="24" customHeight="1">
      <c r="A3" s="2277" t="s">
        <v>707</v>
      </c>
      <c r="B3" s="2567"/>
      <c r="C3" s="2366"/>
      <c r="D3" s="2568"/>
      <c r="E3" s="2569"/>
      <c r="F3" s="2569"/>
      <c r="G3" s="2570"/>
      <c r="H3" s="8"/>
      <c r="I3" s="48"/>
      <c r="J3" s="48"/>
    </row>
    <row r="4" spans="1:13" ht="30" customHeight="1"/>
    <row r="5" spans="1:13">
      <c r="A5" s="1640"/>
      <c r="B5" s="1641" t="s">
        <v>1852</v>
      </c>
      <c r="C5" s="1642"/>
      <c r="D5" s="1642"/>
      <c r="E5" s="1642"/>
      <c r="F5" s="1642"/>
      <c r="G5" s="1625"/>
      <c r="H5" s="1625"/>
      <c r="I5" s="1492"/>
      <c r="J5" s="1492"/>
      <c r="K5" s="1492"/>
      <c r="L5" s="1492"/>
      <c r="M5" s="1492"/>
    </row>
    <row r="6" spans="1:13">
      <c r="A6" s="1620"/>
      <c r="B6" s="1626" t="s">
        <v>1853</v>
      </c>
      <c r="C6" s="1642"/>
      <c r="D6" s="1642"/>
      <c r="E6" s="1642"/>
      <c r="F6" s="1642"/>
      <c r="G6" s="1625"/>
      <c r="H6" s="1625"/>
      <c r="I6" s="1492"/>
      <c r="J6" s="1492"/>
      <c r="K6" s="1492"/>
      <c r="L6" s="1492"/>
      <c r="M6" s="1492"/>
    </row>
    <row r="7" spans="1:13">
      <c r="A7" s="1640"/>
      <c r="B7" s="1643"/>
      <c r="C7" s="1644"/>
      <c r="D7" s="1644"/>
      <c r="E7" s="1644"/>
      <c r="F7" s="1644"/>
      <c r="G7" s="1627"/>
      <c r="H7" s="1627"/>
      <c r="I7" s="1492"/>
      <c r="J7" s="1492"/>
      <c r="K7" s="1492"/>
      <c r="L7" s="1492"/>
      <c r="M7" s="1492"/>
    </row>
    <row r="8" spans="1:13">
      <c r="A8" s="1640"/>
      <c r="B8" s="2571"/>
      <c r="C8" s="2572"/>
      <c r="D8" s="1645"/>
      <c r="E8" s="1628"/>
      <c r="F8" s="1628"/>
      <c r="G8" s="1628"/>
      <c r="H8" s="1629"/>
      <c r="I8" s="1492"/>
      <c r="J8" s="1492"/>
      <c r="K8" s="1492"/>
      <c r="L8" s="1492"/>
      <c r="M8" s="1492"/>
    </row>
    <row r="9" spans="1:13" ht="18" customHeight="1">
      <c r="A9" s="1646"/>
      <c r="B9" s="1647">
        <v>1</v>
      </c>
      <c r="C9" s="2573" t="s">
        <v>1757</v>
      </c>
      <c r="D9" s="2573"/>
      <c r="E9" s="2573"/>
      <c r="F9" s="1693"/>
      <c r="G9" s="1630"/>
      <c r="H9" s="1684"/>
      <c r="I9" s="1492"/>
      <c r="J9" s="1682"/>
      <c r="K9" s="1492"/>
      <c r="L9" s="1492"/>
      <c r="M9" s="1492"/>
    </row>
    <row r="10" spans="1:13" ht="18" customHeight="1">
      <c r="A10" s="1621"/>
      <c r="B10" s="1648"/>
      <c r="C10" s="1703"/>
      <c r="D10" s="1704"/>
      <c r="E10" s="1705" t="s">
        <v>1854</v>
      </c>
      <c r="F10" s="1692"/>
      <c r="G10" s="1680"/>
      <c r="H10" s="1631"/>
      <c r="I10" s="737"/>
      <c r="J10" s="738"/>
      <c r="K10" s="737"/>
      <c r="L10" s="1492"/>
      <c r="M10" s="1492"/>
    </row>
    <row r="11" spans="1:13" ht="18" customHeight="1">
      <c r="A11" s="737"/>
      <c r="B11" s="1650"/>
      <c r="C11" s="1651"/>
      <c r="D11" s="1651"/>
      <c r="E11" s="1651"/>
      <c r="F11" s="1652"/>
      <c r="G11" s="1699"/>
      <c r="H11" s="1632"/>
      <c r="I11" s="1622"/>
      <c r="J11" s="737"/>
      <c r="K11" s="1691"/>
      <c r="L11" s="1492"/>
      <c r="M11" s="1492"/>
    </row>
    <row r="12" spans="1:13" ht="18" customHeight="1">
      <c r="A12" s="1619"/>
      <c r="B12" s="1647">
        <v>2</v>
      </c>
      <c r="C12" s="2574" t="s">
        <v>1855</v>
      </c>
      <c r="D12" s="2574"/>
      <c r="E12" s="1653"/>
      <c r="F12" s="2575"/>
      <c r="G12" s="1633"/>
      <c r="H12" s="1631"/>
      <c r="I12" s="1624"/>
      <c r="J12" s="1623"/>
      <c r="K12" s="1691"/>
      <c r="L12" s="882"/>
      <c r="M12" s="882"/>
    </row>
    <row r="13" spans="1:13" ht="18" customHeight="1">
      <c r="A13" s="1619"/>
      <c r="B13" s="2045"/>
      <c r="C13" s="2046"/>
      <c r="D13" s="2046"/>
      <c r="E13" s="1651"/>
      <c r="F13" s="2576"/>
      <c r="G13" s="2047"/>
      <c r="H13" s="1631"/>
      <c r="I13" s="1624"/>
      <c r="J13" s="1623"/>
      <c r="K13" s="1691"/>
      <c r="L13" s="882"/>
      <c r="M13" s="882"/>
    </row>
    <row r="14" spans="1:13" ht="18" customHeight="1">
      <c r="A14" s="1619"/>
      <c r="B14" s="2045"/>
      <c r="C14" s="2046"/>
      <c r="D14" s="2046"/>
      <c r="E14" s="1651"/>
      <c r="F14" s="2576"/>
      <c r="G14" s="2047"/>
      <c r="H14" s="1631"/>
      <c r="I14" s="1624"/>
      <c r="J14" s="1623"/>
      <c r="K14" s="1691"/>
      <c r="L14" s="882"/>
      <c r="M14" s="882"/>
    </row>
    <row r="15" spans="1:13" ht="18" customHeight="1">
      <c r="A15" s="1619"/>
      <c r="B15" s="2045"/>
      <c r="C15" s="2046"/>
      <c r="D15" s="2046"/>
      <c r="E15" s="1651"/>
      <c r="F15" s="2576"/>
      <c r="G15" s="2047"/>
      <c r="H15" s="1631"/>
      <c r="I15" s="1624"/>
      <c r="J15" s="1623"/>
      <c r="K15" s="1691"/>
      <c r="L15" s="882"/>
      <c r="M15" s="882"/>
    </row>
    <row r="16" spans="1:13" ht="18" customHeight="1">
      <c r="A16" s="1619"/>
      <c r="B16" s="2045"/>
      <c r="C16" s="2046"/>
      <c r="D16" s="2046"/>
      <c r="E16" s="1651"/>
      <c r="F16" s="2576"/>
      <c r="G16" s="2047"/>
      <c r="H16" s="1631"/>
      <c r="I16" s="1624"/>
      <c r="J16" s="1623"/>
      <c r="K16" s="1691"/>
      <c r="L16" s="882"/>
      <c r="M16" s="882"/>
    </row>
    <row r="17" spans="1:13" ht="18" customHeight="1">
      <c r="A17" s="1619"/>
      <c r="B17" s="2045"/>
      <c r="C17" s="2046"/>
      <c r="D17" s="2046"/>
      <c r="E17" s="1651"/>
      <c r="F17" s="2576"/>
      <c r="G17" s="2047"/>
      <c r="H17" s="1631"/>
      <c r="I17" s="1624"/>
      <c r="J17" s="1623"/>
      <c r="K17" s="1691"/>
      <c r="L17" s="882"/>
      <c r="M17" s="882"/>
    </row>
    <row r="18" spans="1:13" ht="18" customHeight="1">
      <c r="A18" s="1619"/>
      <c r="B18" s="2045"/>
      <c r="C18" s="2046"/>
      <c r="D18" s="2046"/>
      <c r="E18" s="1651"/>
      <c r="F18" s="2577"/>
      <c r="G18" s="2047"/>
      <c r="H18" s="1631"/>
      <c r="I18" s="1624"/>
      <c r="J18" s="1623"/>
      <c r="K18" s="1691"/>
      <c r="L18" s="882"/>
      <c r="M18" s="882"/>
    </row>
    <row r="19" spans="1:13" ht="18" customHeight="1">
      <c r="A19" s="1619"/>
      <c r="B19" s="1648"/>
      <c r="C19" s="1706"/>
      <c r="D19" s="1707"/>
      <c r="E19" s="1705" t="s">
        <v>1854</v>
      </c>
      <c r="F19" s="1692"/>
      <c r="G19" s="1680"/>
      <c r="H19" s="1631"/>
      <c r="I19" s="1624"/>
      <c r="J19" s="1623"/>
      <c r="K19" s="1691"/>
      <c r="L19" s="882"/>
      <c r="M19" s="882"/>
    </row>
    <row r="20" spans="1:13" ht="18" customHeight="1">
      <c r="A20" s="1619"/>
      <c r="B20" s="1655"/>
      <c r="C20" s="1654"/>
      <c r="D20" s="1654"/>
      <c r="E20" s="1649"/>
      <c r="F20" s="1656"/>
      <c r="G20" s="1699"/>
      <c r="H20" s="1632"/>
      <c r="I20" s="1686"/>
      <c r="J20" s="1623"/>
      <c r="K20" s="1691"/>
      <c r="L20" s="882"/>
      <c r="M20" s="882"/>
    </row>
    <row r="21" spans="1:13" ht="18" customHeight="1">
      <c r="A21" s="1619"/>
      <c r="B21" s="1657">
        <v>3</v>
      </c>
      <c r="C21" s="1658" t="s">
        <v>1856</v>
      </c>
      <c r="D21" s="1659" t="s">
        <v>1857</v>
      </c>
      <c r="E21" s="1660" t="s">
        <v>2303</v>
      </c>
      <c r="F21" s="1661"/>
      <c r="G21" s="1700"/>
      <c r="H21" s="1631" t="s">
        <v>1858</v>
      </c>
      <c r="I21" s="1686"/>
      <c r="J21" s="1623"/>
      <c r="K21" s="1691"/>
      <c r="L21" s="882"/>
      <c r="M21" s="882"/>
    </row>
    <row r="22" spans="1:13" ht="18" customHeight="1">
      <c r="A22" s="1646"/>
      <c r="B22" s="1657"/>
      <c r="C22" s="1658"/>
      <c r="D22" s="1659"/>
      <c r="E22" s="1662" t="s">
        <v>1859</v>
      </c>
      <c r="F22" s="1663"/>
      <c r="G22" s="1635"/>
      <c r="H22" s="1631" t="s">
        <v>1858</v>
      </c>
      <c r="I22" s="1687"/>
      <c r="J22" s="1492"/>
      <c r="K22" s="1691"/>
      <c r="L22" s="882"/>
      <c r="M22" s="882"/>
    </row>
    <row r="23" spans="1:13" ht="18" customHeight="1">
      <c r="A23" s="1646"/>
      <c r="B23" s="1657"/>
      <c r="C23" s="1658"/>
      <c r="D23" s="1659"/>
      <c r="E23" s="1662" t="s">
        <v>1860</v>
      </c>
      <c r="F23" s="1663"/>
      <c r="G23" s="1635"/>
      <c r="H23" s="1631" t="s">
        <v>1858</v>
      </c>
      <c r="I23" s="1688"/>
      <c r="J23" s="1469"/>
      <c r="K23" s="1691"/>
      <c r="L23" s="882"/>
      <c r="M23" s="882"/>
    </row>
    <row r="24" spans="1:13" ht="18" customHeight="1">
      <c r="A24" s="1646"/>
      <c r="B24" s="1657"/>
      <c r="C24" s="1658"/>
      <c r="D24" s="1659"/>
      <c r="E24" s="1662" t="s">
        <v>1861</v>
      </c>
      <c r="F24" s="1663"/>
      <c r="G24" s="1635"/>
      <c r="H24" s="1631" t="s">
        <v>1858</v>
      </c>
      <c r="I24" s="1689"/>
      <c r="J24" s="1492"/>
      <c r="K24" s="1691"/>
      <c r="L24" s="882"/>
      <c r="M24" s="882"/>
    </row>
    <row r="25" spans="1:13" ht="18" customHeight="1">
      <c r="A25" s="1646"/>
      <c r="B25" s="1657"/>
      <c r="C25" s="1658"/>
      <c r="D25" s="1659"/>
      <c r="E25" s="1662" t="s">
        <v>2304</v>
      </c>
      <c r="F25" s="1663"/>
      <c r="G25" s="1635"/>
      <c r="H25" s="1631" t="s">
        <v>1858</v>
      </c>
      <c r="I25" s="1689"/>
      <c r="J25" s="1492"/>
      <c r="K25" s="1691"/>
      <c r="L25" s="882"/>
      <c r="M25" s="882"/>
    </row>
    <row r="26" spans="1:13" ht="18" customHeight="1">
      <c r="A26" s="1646"/>
      <c r="B26" s="1657"/>
      <c r="C26" s="1658"/>
      <c r="D26" s="1659"/>
      <c r="E26" s="1662" t="s">
        <v>2305</v>
      </c>
      <c r="F26" s="1663"/>
      <c r="G26" s="1635"/>
      <c r="H26" s="1631" t="s">
        <v>1858</v>
      </c>
      <c r="I26" s="1688"/>
      <c r="J26" s="1469"/>
      <c r="K26" s="1691"/>
      <c r="L26" s="882"/>
      <c r="M26" s="882"/>
    </row>
    <row r="27" spans="1:13" ht="18" customHeight="1">
      <c r="A27" s="1646"/>
      <c r="B27" s="1657"/>
      <c r="C27" s="1658"/>
      <c r="D27" s="1659"/>
      <c r="E27" s="1662" t="s">
        <v>1862</v>
      </c>
      <c r="F27" s="1663"/>
      <c r="G27" s="1635"/>
      <c r="H27" s="1631" t="s">
        <v>1858</v>
      </c>
      <c r="I27" s="1689"/>
      <c r="J27" s="1492"/>
      <c r="K27" s="1691"/>
      <c r="L27" s="882"/>
      <c r="M27" s="882"/>
    </row>
    <row r="28" spans="1:13" ht="18" customHeight="1">
      <c r="A28" s="1646"/>
      <c r="B28" s="1657"/>
      <c r="C28" s="1658"/>
      <c r="D28" s="1659"/>
      <c r="E28" s="1662" t="s">
        <v>1863</v>
      </c>
      <c r="F28" s="1663"/>
      <c r="G28" s="1635"/>
      <c r="H28" s="1631" t="s">
        <v>1858</v>
      </c>
      <c r="I28" s="1689"/>
      <c r="J28" s="1492"/>
      <c r="K28" s="1691"/>
      <c r="L28" s="882"/>
      <c r="M28" s="882"/>
    </row>
    <row r="29" spans="1:13" ht="18" customHeight="1">
      <c r="A29" s="1646"/>
      <c r="B29" s="1657"/>
      <c r="C29" s="1658"/>
      <c r="D29" s="1659"/>
      <c r="E29" s="1662" t="s">
        <v>1864</v>
      </c>
      <c r="F29" s="1663"/>
      <c r="G29" s="1635"/>
      <c r="H29" s="1631" t="s">
        <v>1858</v>
      </c>
      <c r="I29" s="1689"/>
      <c r="J29" s="1492"/>
      <c r="K29" s="1691"/>
      <c r="L29" s="882"/>
      <c r="M29" s="882"/>
    </row>
    <row r="30" spans="1:13" ht="18" customHeight="1">
      <c r="A30" s="1646"/>
      <c r="B30" s="1657"/>
      <c r="C30" s="1658"/>
      <c r="D30" s="1659"/>
      <c r="E30" s="1662" t="s">
        <v>2308</v>
      </c>
      <c r="F30" s="1663"/>
      <c r="G30" s="1635"/>
      <c r="H30" s="1631" t="s">
        <v>1858</v>
      </c>
      <c r="I30" s="1689"/>
      <c r="J30" s="1492"/>
      <c r="K30" s="1691"/>
      <c r="L30" s="882"/>
      <c r="M30" s="882"/>
    </row>
    <row r="31" spans="1:13" ht="18" customHeight="1">
      <c r="A31" s="1646"/>
      <c r="B31" s="1657"/>
      <c r="C31" s="1658"/>
      <c r="D31" s="1659"/>
      <c r="E31" s="1662" t="s">
        <v>2352</v>
      </c>
      <c r="F31" s="1663"/>
      <c r="G31" s="1635"/>
      <c r="H31" s="1631" t="s">
        <v>1858</v>
      </c>
      <c r="I31" s="1688"/>
      <c r="J31" s="1469"/>
      <c r="K31" s="1691"/>
      <c r="L31" s="882"/>
      <c r="M31" s="882"/>
    </row>
    <row r="32" spans="1:13" ht="18" customHeight="1">
      <c r="A32" s="1646"/>
      <c r="B32" s="1657"/>
      <c r="C32" s="1658"/>
      <c r="D32" s="1659"/>
      <c r="E32" s="1662" t="s">
        <v>2353</v>
      </c>
      <c r="F32" s="1663"/>
      <c r="G32" s="1635"/>
      <c r="H32" s="1631" t="s">
        <v>1858</v>
      </c>
      <c r="I32" s="1689"/>
      <c r="J32" s="1492"/>
      <c r="K32" s="1691"/>
      <c r="L32" s="882"/>
      <c r="M32" s="882"/>
    </row>
    <row r="33" spans="1:13" ht="18" customHeight="1">
      <c r="A33" s="1646"/>
      <c r="B33" s="1657"/>
      <c r="C33" s="1658"/>
      <c r="D33" s="1659"/>
      <c r="E33" s="1662" t="s">
        <v>2306</v>
      </c>
      <c r="F33" s="1663"/>
      <c r="G33" s="1635"/>
      <c r="H33" s="1631" t="s">
        <v>1858</v>
      </c>
      <c r="I33" s="1689"/>
      <c r="J33" s="1492"/>
      <c r="K33" s="1691"/>
      <c r="L33" s="882"/>
      <c r="M33" s="882"/>
    </row>
    <row r="34" spans="1:13" ht="18" customHeight="1">
      <c r="A34" s="1646"/>
      <c r="B34" s="1657"/>
      <c r="C34" s="1658"/>
      <c r="D34" s="1659"/>
      <c r="E34" s="1662" t="s">
        <v>2307</v>
      </c>
      <c r="F34" s="1663"/>
      <c r="G34" s="1635"/>
      <c r="H34" s="1631" t="s">
        <v>1858</v>
      </c>
      <c r="I34" s="1689"/>
      <c r="J34" s="1492"/>
      <c r="K34" s="1691"/>
      <c r="L34" s="882"/>
      <c r="M34" s="882"/>
    </row>
    <row r="35" spans="1:13" ht="18" customHeight="1">
      <c r="A35" s="1646"/>
      <c r="B35" s="1657"/>
      <c r="C35" s="1658"/>
      <c r="D35" s="1659"/>
      <c r="E35" s="1662" t="s">
        <v>2354</v>
      </c>
      <c r="F35" s="1663"/>
      <c r="G35" s="1635"/>
      <c r="H35" s="1631" t="s">
        <v>1858</v>
      </c>
      <c r="I35" s="1689"/>
      <c r="J35" s="1492"/>
      <c r="K35" s="1691"/>
      <c r="L35" s="882"/>
      <c r="M35" s="882"/>
    </row>
    <row r="36" spans="1:13" ht="18" customHeight="1">
      <c r="A36" s="1646"/>
      <c r="B36" s="1657"/>
      <c r="C36" s="1658"/>
      <c r="D36" s="1659"/>
      <c r="E36" s="1662" t="s">
        <v>2355</v>
      </c>
      <c r="F36" s="1663"/>
      <c r="G36" s="1635"/>
      <c r="H36" s="1631" t="s">
        <v>1858</v>
      </c>
      <c r="I36" s="1689"/>
      <c r="J36" s="1492"/>
      <c r="K36" s="1691"/>
      <c r="L36" s="882"/>
      <c r="M36" s="882"/>
    </row>
    <row r="37" spans="1:13" ht="18" customHeight="1">
      <c r="A37" s="1646"/>
      <c r="B37" s="1657"/>
      <c r="C37" s="1658"/>
      <c r="D37" s="1664" t="s">
        <v>1865</v>
      </c>
      <c r="E37" s="1678"/>
      <c r="F37" s="1663"/>
      <c r="G37" s="1635"/>
      <c r="H37" s="1631" t="s">
        <v>1858</v>
      </c>
      <c r="I37" s="1690"/>
      <c r="J37" s="1492"/>
      <c r="K37" s="1691"/>
      <c r="L37" s="882"/>
      <c r="M37" s="882"/>
    </row>
    <row r="38" spans="1:13" ht="18" customHeight="1">
      <c r="A38" s="1646"/>
      <c r="B38" s="1657"/>
      <c r="C38" s="1658"/>
      <c r="D38" s="1664" t="s">
        <v>1865</v>
      </c>
      <c r="E38" s="1678"/>
      <c r="F38" s="1663"/>
      <c r="G38" s="1635"/>
      <c r="H38" s="1631" t="s">
        <v>1858</v>
      </c>
      <c r="I38" s="1690"/>
      <c r="J38" s="1492"/>
      <c r="K38" s="1691"/>
      <c r="L38" s="882"/>
      <c r="M38" s="882"/>
    </row>
    <row r="39" spans="1:13" ht="18" customHeight="1">
      <c r="A39" s="1646"/>
      <c r="B39" s="1657"/>
      <c r="C39" s="1658"/>
      <c r="D39" s="1664" t="s">
        <v>1865</v>
      </c>
      <c r="E39" s="1678"/>
      <c r="F39" s="1663"/>
      <c r="G39" s="1635"/>
      <c r="H39" s="1631" t="s">
        <v>1858</v>
      </c>
      <c r="I39" s="1492"/>
      <c r="J39" s="1492"/>
      <c r="K39" s="1492"/>
      <c r="L39" s="882"/>
      <c r="M39" s="1492"/>
    </row>
    <row r="40" spans="1:13" ht="18" customHeight="1">
      <c r="A40" s="1646"/>
      <c r="B40" s="1657"/>
      <c r="C40" s="1658"/>
      <c r="D40" s="1664" t="s">
        <v>1865</v>
      </c>
      <c r="E40" s="1678"/>
      <c r="F40" s="1663"/>
      <c r="G40" s="1635"/>
      <c r="H40" s="1631" t="s">
        <v>1858</v>
      </c>
      <c r="I40" s="1492"/>
      <c r="J40" s="1492"/>
      <c r="K40" s="1492"/>
      <c r="L40" s="882"/>
      <c r="M40" s="1492"/>
    </row>
    <row r="41" spans="1:13" ht="18" customHeight="1">
      <c r="A41" s="1646"/>
      <c r="B41" s="1657"/>
      <c r="C41" s="1658"/>
      <c r="D41" s="1664" t="s">
        <v>1865</v>
      </c>
      <c r="E41" s="1678"/>
      <c r="F41" s="1665"/>
      <c r="G41" s="1635"/>
      <c r="H41" s="1631" t="s">
        <v>1858</v>
      </c>
      <c r="I41" s="1492"/>
      <c r="J41" s="1492"/>
      <c r="K41" s="1492"/>
      <c r="L41" s="1492"/>
      <c r="M41" s="1492"/>
    </row>
    <row r="42" spans="1:13" ht="18" customHeight="1">
      <c r="A42" s="1666"/>
      <c r="B42" s="1657"/>
      <c r="C42" s="1658"/>
      <c r="D42" s="1664"/>
      <c r="E42" s="1667" t="s">
        <v>1866</v>
      </c>
      <c r="F42" s="1685"/>
      <c r="G42" s="1681"/>
      <c r="H42" s="1631" t="s">
        <v>1858</v>
      </c>
    </row>
    <row r="43" spans="1:13" ht="18" customHeight="1">
      <c r="A43" s="1666"/>
      <c r="B43" s="1657"/>
      <c r="C43" s="1658"/>
      <c r="D43" s="1669" t="s">
        <v>1867</v>
      </c>
      <c r="E43" s="1670" t="s">
        <v>2356</v>
      </c>
      <c r="F43" s="1671"/>
      <c r="G43" s="1634"/>
      <c r="H43" s="1631" t="s">
        <v>1858</v>
      </c>
    </row>
    <row r="44" spans="1:13" ht="18" customHeight="1">
      <c r="A44" s="1666"/>
      <c r="B44" s="1657"/>
      <c r="C44" s="1658"/>
      <c r="D44" s="1659"/>
      <c r="E44" s="1662" t="s">
        <v>2357</v>
      </c>
      <c r="F44" s="1663"/>
      <c r="G44" s="1635"/>
      <c r="H44" s="1631" t="s">
        <v>1858</v>
      </c>
    </row>
    <row r="45" spans="1:13" ht="18" customHeight="1">
      <c r="A45" s="1666"/>
      <c r="B45" s="1657"/>
      <c r="C45" s="1658"/>
      <c r="D45" s="1659"/>
      <c r="E45" s="1662" t="s">
        <v>2358</v>
      </c>
      <c r="F45" s="1663"/>
      <c r="G45" s="1635"/>
      <c r="H45" s="1631" t="s">
        <v>1858</v>
      </c>
    </row>
    <row r="46" spans="1:13" ht="18" customHeight="1">
      <c r="A46" s="1666"/>
      <c r="B46" s="1657"/>
      <c r="C46" s="1658"/>
      <c r="D46" s="1659"/>
      <c r="E46" s="1662" t="s">
        <v>2359</v>
      </c>
      <c r="F46" s="1663"/>
      <c r="G46" s="1635"/>
      <c r="H46" s="1631" t="s">
        <v>1858</v>
      </c>
    </row>
    <row r="47" spans="1:13" ht="18" customHeight="1">
      <c r="A47" s="1666"/>
      <c r="B47" s="1657"/>
      <c r="C47" s="1658"/>
      <c r="D47" s="1659"/>
      <c r="E47" s="1662" t="s">
        <v>2360</v>
      </c>
      <c r="F47" s="1663"/>
      <c r="G47" s="1635"/>
      <c r="H47" s="1631" t="s">
        <v>1858</v>
      </c>
    </row>
    <row r="48" spans="1:13" ht="18" customHeight="1">
      <c r="A48" s="1666"/>
      <c r="B48" s="1657"/>
      <c r="C48" s="1658"/>
      <c r="D48" s="1659"/>
      <c r="E48" s="1662" t="s">
        <v>2361</v>
      </c>
      <c r="F48" s="1663"/>
      <c r="G48" s="1635"/>
      <c r="H48" s="1631" t="s">
        <v>1858</v>
      </c>
    </row>
    <row r="49" spans="1:8" ht="18" customHeight="1">
      <c r="A49" s="1666"/>
      <c r="B49" s="1657"/>
      <c r="C49" s="1658"/>
      <c r="D49" s="1659"/>
      <c r="E49" s="1662" t="s">
        <v>2362</v>
      </c>
      <c r="F49" s="1663"/>
      <c r="G49" s="1635"/>
      <c r="H49" s="1631" t="s">
        <v>1858</v>
      </c>
    </row>
    <row r="50" spans="1:8" ht="18" customHeight="1">
      <c r="A50" s="1666"/>
      <c r="B50" s="1657"/>
      <c r="C50" s="1658"/>
      <c r="D50" s="1659"/>
      <c r="E50" s="1662" t="s">
        <v>2363</v>
      </c>
      <c r="F50" s="1663"/>
      <c r="G50" s="1635"/>
      <c r="H50" s="1631" t="s">
        <v>1858</v>
      </c>
    </row>
    <row r="51" spans="1:8" ht="18" customHeight="1">
      <c r="A51" s="1666"/>
      <c r="B51" s="1657"/>
      <c r="C51" s="1658"/>
      <c r="D51" s="1659"/>
      <c r="E51" s="1662" t="s">
        <v>2364</v>
      </c>
      <c r="F51" s="1663"/>
      <c r="G51" s="1635"/>
      <c r="H51" s="1631" t="s">
        <v>1858</v>
      </c>
    </row>
    <row r="52" spans="1:8" ht="18" customHeight="1">
      <c r="A52" s="1666"/>
      <c r="B52" s="1657"/>
      <c r="C52" s="1658"/>
      <c r="D52" s="1659"/>
      <c r="E52" s="1662" t="s">
        <v>2365</v>
      </c>
      <c r="F52" s="1663"/>
      <c r="G52" s="1635"/>
      <c r="H52" s="1631" t="s">
        <v>1858</v>
      </c>
    </row>
    <row r="53" spans="1:8" ht="18" customHeight="1">
      <c r="A53" s="1666"/>
      <c r="B53" s="1657"/>
      <c r="C53" s="1658"/>
      <c r="D53" s="1659"/>
      <c r="E53" s="1662" t="s">
        <v>2366</v>
      </c>
      <c r="F53" s="1663"/>
      <c r="G53" s="1635"/>
      <c r="H53" s="1631" t="s">
        <v>1858</v>
      </c>
    </row>
    <row r="54" spans="1:8" ht="18" customHeight="1">
      <c r="A54" s="1666"/>
      <c r="B54" s="1657"/>
      <c r="C54" s="1658"/>
      <c r="D54" s="1659"/>
      <c r="E54" s="1662" t="s">
        <v>2367</v>
      </c>
      <c r="F54" s="1663"/>
      <c r="G54" s="1635"/>
      <c r="H54" s="1631" t="s">
        <v>1858</v>
      </c>
    </row>
    <row r="55" spans="1:8" ht="18" customHeight="1">
      <c r="A55" s="1666"/>
      <c r="B55" s="1657"/>
      <c r="C55" s="1658"/>
      <c r="D55" s="1659"/>
      <c r="E55" s="1662" t="s">
        <v>2368</v>
      </c>
      <c r="F55" s="1663"/>
      <c r="G55" s="1635"/>
      <c r="H55" s="1631" t="s">
        <v>1858</v>
      </c>
    </row>
    <row r="56" spans="1:8" ht="18" customHeight="1">
      <c r="A56" s="1666"/>
      <c r="B56" s="1657"/>
      <c r="C56" s="1658"/>
      <c r="D56" s="1659"/>
      <c r="E56" s="1662" t="s">
        <v>2369</v>
      </c>
      <c r="F56" s="1663"/>
      <c r="G56" s="1635"/>
      <c r="H56" s="1631" t="s">
        <v>1858</v>
      </c>
    </row>
    <row r="57" spans="1:8" ht="18" customHeight="1">
      <c r="A57" s="1666"/>
      <c r="B57" s="1657"/>
      <c r="C57" s="1658"/>
      <c r="D57" s="1659"/>
      <c r="E57" s="1662" t="s">
        <v>2370</v>
      </c>
      <c r="F57" s="1663"/>
      <c r="G57" s="1635"/>
      <c r="H57" s="1631" t="s">
        <v>1858</v>
      </c>
    </row>
    <row r="58" spans="1:8" ht="18" customHeight="1">
      <c r="A58" s="1666"/>
      <c r="B58" s="1657"/>
      <c r="C58" s="1658"/>
      <c r="D58" s="1659"/>
      <c r="E58" s="1662" t="s">
        <v>2371</v>
      </c>
      <c r="F58" s="1663"/>
      <c r="G58" s="1635"/>
      <c r="H58" s="1631" t="s">
        <v>1858</v>
      </c>
    </row>
    <row r="59" spans="1:8" ht="18" customHeight="1">
      <c r="A59" s="1666"/>
      <c r="B59" s="1657"/>
      <c r="C59" s="1658"/>
      <c r="D59" s="1659"/>
      <c r="E59" s="1662" t="s">
        <v>1868</v>
      </c>
      <c r="F59" s="1663"/>
      <c r="G59" s="1635"/>
      <c r="H59" s="1631" t="s">
        <v>1858</v>
      </c>
    </row>
    <row r="60" spans="1:8" ht="18" customHeight="1">
      <c r="A60" s="1666"/>
      <c r="B60" s="1657"/>
      <c r="C60" s="1658"/>
      <c r="D60" s="1659"/>
      <c r="E60" s="1662" t="s">
        <v>1869</v>
      </c>
      <c r="F60" s="1663"/>
      <c r="G60" s="1635"/>
      <c r="H60" s="1631" t="s">
        <v>1858</v>
      </c>
    </row>
    <row r="61" spans="1:8" ht="18" customHeight="1">
      <c r="A61" s="1666"/>
      <c r="B61" s="1657"/>
      <c r="C61" s="1658"/>
      <c r="D61" s="1659"/>
      <c r="E61" s="1662" t="s">
        <v>1870</v>
      </c>
      <c r="F61" s="1663"/>
      <c r="G61" s="1635"/>
      <c r="H61" s="1631" t="s">
        <v>1858</v>
      </c>
    </row>
    <row r="62" spans="1:8" ht="18" customHeight="1">
      <c r="A62" s="1666"/>
      <c r="B62" s="1657"/>
      <c r="C62" s="1658"/>
      <c r="D62" s="1659"/>
      <c r="E62" s="1662" t="s">
        <v>1929</v>
      </c>
      <c r="F62" s="1663"/>
      <c r="G62" s="1635"/>
      <c r="H62" s="1631" t="s">
        <v>1858</v>
      </c>
    </row>
    <row r="63" spans="1:8" ht="18" customHeight="1">
      <c r="A63" s="1666"/>
      <c r="B63" s="1657"/>
      <c r="C63" s="1658"/>
      <c r="D63" s="1659"/>
      <c r="E63" s="1662" t="s">
        <v>2309</v>
      </c>
      <c r="F63" s="1663"/>
      <c r="G63" s="1635"/>
      <c r="H63" s="1631" t="s">
        <v>1858</v>
      </c>
    </row>
    <row r="64" spans="1:8" ht="18" customHeight="1">
      <c r="A64" s="1666"/>
      <c r="B64" s="1657"/>
      <c r="C64" s="1658"/>
      <c r="D64" s="1659"/>
      <c r="E64" s="1662" t="s">
        <v>2310</v>
      </c>
      <c r="F64" s="1663"/>
      <c r="G64" s="1635"/>
      <c r="H64" s="1631" t="s">
        <v>1858</v>
      </c>
    </row>
    <row r="65" spans="1:8" ht="18" customHeight="1">
      <c r="A65" s="1666"/>
      <c r="B65" s="1657"/>
      <c r="C65" s="1658"/>
      <c r="D65" s="1659"/>
      <c r="E65" s="1662" t="s">
        <v>2311</v>
      </c>
      <c r="F65" s="1663"/>
      <c r="G65" s="1635"/>
      <c r="H65" s="1631" t="s">
        <v>1858</v>
      </c>
    </row>
    <row r="66" spans="1:8" ht="18" customHeight="1">
      <c r="A66" s="1666"/>
      <c r="B66" s="1657"/>
      <c r="C66" s="1658"/>
      <c r="D66" s="1659"/>
      <c r="E66" s="1662" t="s">
        <v>1871</v>
      </c>
      <c r="F66" s="1663"/>
      <c r="G66" s="1635"/>
      <c r="H66" s="1631" t="s">
        <v>1858</v>
      </c>
    </row>
    <row r="67" spans="1:8" ht="18" customHeight="1">
      <c r="A67" s="1666"/>
      <c r="B67" s="1657"/>
      <c r="C67" s="1658"/>
      <c r="D67" s="1659"/>
      <c r="E67" s="1662" t="s">
        <v>1872</v>
      </c>
      <c r="F67" s="1663"/>
      <c r="G67" s="1635"/>
      <c r="H67" s="1631" t="s">
        <v>1858</v>
      </c>
    </row>
    <row r="68" spans="1:8" ht="18" customHeight="1">
      <c r="A68" s="1666"/>
      <c r="B68" s="1657"/>
      <c r="C68" s="1658"/>
      <c r="D68" s="1664" t="s">
        <v>1865</v>
      </c>
      <c r="E68" s="1678"/>
      <c r="F68" s="1663"/>
      <c r="G68" s="1635"/>
      <c r="H68" s="1631" t="s">
        <v>1858</v>
      </c>
    </row>
    <row r="69" spans="1:8" ht="18" customHeight="1">
      <c r="A69" s="1666"/>
      <c r="B69" s="1657"/>
      <c r="C69" s="1658"/>
      <c r="D69" s="1664" t="s">
        <v>1865</v>
      </c>
      <c r="E69" s="1678"/>
      <c r="F69" s="1663"/>
      <c r="G69" s="1635"/>
      <c r="H69" s="1631" t="s">
        <v>1858</v>
      </c>
    </row>
    <row r="70" spans="1:8" ht="18" customHeight="1">
      <c r="A70" s="1666"/>
      <c r="B70" s="1657"/>
      <c r="C70" s="1658"/>
      <c r="D70" s="1664" t="s">
        <v>1865</v>
      </c>
      <c r="E70" s="1678"/>
      <c r="F70" s="1663"/>
      <c r="G70" s="1635"/>
      <c r="H70" s="1631" t="s">
        <v>1858</v>
      </c>
    </row>
    <row r="71" spans="1:8" ht="18" customHeight="1">
      <c r="A71" s="1666"/>
      <c r="B71" s="1657"/>
      <c r="C71" s="1658"/>
      <c r="D71" s="1664" t="s">
        <v>1865</v>
      </c>
      <c r="E71" s="1678"/>
      <c r="F71" s="1663"/>
      <c r="G71" s="1635"/>
      <c r="H71" s="1631" t="s">
        <v>1858</v>
      </c>
    </row>
    <row r="72" spans="1:8" ht="18" customHeight="1">
      <c r="A72" s="1666"/>
      <c r="B72" s="1657"/>
      <c r="C72" s="1658"/>
      <c r="D72" s="1664" t="s">
        <v>1865</v>
      </c>
      <c r="E72" s="1678"/>
      <c r="F72" s="1663"/>
      <c r="G72" s="1635"/>
      <c r="H72" s="1631" t="s">
        <v>1858</v>
      </c>
    </row>
    <row r="73" spans="1:8" ht="18" customHeight="1">
      <c r="A73" s="1666"/>
      <c r="B73" s="1657"/>
      <c r="C73" s="1658"/>
      <c r="D73" s="1664" t="s">
        <v>1865</v>
      </c>
      <c r="E73" s="1678"/>
      <c r="F73" s="1663"/>
      <c r="G73" s="1635"/>
      <c r="H73" s="1631" t="s">
        <v>1858</v>
      </c>
    </row>
    <row r="74" spans="1:8" ht="18" customHeight="1">
      <c r="A74" s="1666"/>
      <c r="B74" s="1657"/>
      <c r="C74" s="1658"/>
      <c r="D74" s="1664" t="s">
        <v>1865</v>
      </c>
      <c r="E74" s="1678"/>
      <c r="F74" s="1665"/>
      <c r="G74" s="1635"/>
      <c r="H74" s="1631" t="s">
        <v>1858</v>
      </c>
    </row>
    <row r="75" spans="1:8" ht="18" customHeight="1">
      <c r="A75" s="1666"/>
      <c r="B75" s="1657"/>
      <c r="C75" s="1658"/>
      <c r="D75" s="1672"/>
      <c r="E75" s="1667" t="s">
        <v>1866</v>
      </c>
      <c r="F75" s="1668"/>
      <c r="G75" s="1681"/>
      <c r="H75" s="1631" t="s">
        <v>1858</v>
      </c>
    </row>
    <row r="76" spans="1:8" ht="18" customHeight="1">
      <c r="A76" s="1666"/>
      <c r="B76" s="1657"/>
      <c r="C76" s="1673" t="s">
        <v>1873</v>
      </c>
      <c r="D76" s="1636" t="s">
        <v>1874</v>
      </c>
      <c r="E76" s="1679"/>
      <c r="F76" s="1671"/>
      <c r="G76" s="1635"/>
      <c r="H76" s="1631" t="s">
        <v>1858</v>
      </c>
    </row>
    <row r="77" spans="1:8" ht="18" customHeight="1">
      <c r="A77" s="1666"/>
      <c r="B77" s="1657"/>
      <c r="C77" s="1658"/>
      <c r="D77" s="1636" t="s">
        <v>1875</v>
      </c>
      <c r="E77" s="1678"/>
      <c r="F77" s="1663"/>
      <c r="G77" s="1635"/>
      <c r="H77" s="1631" t="s">
        <v>1858</v>
      </c>
    </row>
    <row r="78" spans="1:8" ht="18" customHeight="1">
      <c r="A78" s="1666"/>
      <c r="B78" s="1657"/>
      <c r="C78" s="1658"/>
      <c r="D78" s="1636" t="s">
        <v>1875</v>
      </c>
      <c r="E78" s="1678"/>
      <c r="F78" s="1663"/>
      <c r="G78" s="1635"/>
      <c r="H78" s="1631" t="s">
        <v>1858</v>
      </c>
    </row>
    <row r="79" spans="1:8" ht="18" customHeight="1">
      <c r="A79" s="1666"/>
      <c r="B79" s="1657"/>
      <c r="C79" s="1658"/>
      <c r="D79" s="1636" t="s">
        <v>1875</v>
      </c>
      <c r="E79" s="1678"/>
      <c r="F79" s="1663"/>
      <c r="G79" s="1635"/>
      <c r="H79" s="1631" t="s">
        <v>1858</v>
      </c>
    </row>
    <row r="80" spans="1:8" ht="18" customHeight="1">
      <c r="A80" s="1666"/>
      <c r="B80" s="1657"/>
      <c r="C80" s="1658"/>
      <c r="D80" s="1636" t="s">
        <v>1875</v>
      </c>
      <c r="E80" s="1678"/>
      <c r="F80" s="1663"/>
      <c r="G80" s="1635"/>
      <c r="H80" s="1631" t="s">
        <v>1858</v>
      </c>
    </row>
    <row r="81" spans="1:8" ht="18" customHeight="1">
      <c r="A81" s="1666"/>
      <c r="B81" s="1657"/>
      <c r="C81" s="1658"/>
      <c r="D81" s="1636" t="s">
        <v>1875</v>
      </c>
      <c r="E81" s="1678"/>
      <c r="F81" s="1663"/>
      <c r="G81" s="1635"/>
      <c r="H81" s="1631" t="s">
        <v>1858</v>
      </c>
    </row>
    <row r="82" spans="1:8" ht="18" customHeight="1">
      <c r="A82" s="1666"/>
      <c r="B82" s="1657"/>
      <c r="C82" s="1658"/>
      <c r="D82" s="1636" t="s">
        <v>1875</v>
      </c>
      <c r="E82" s="1678"/>
      <c r="F82" s="1665"/>
      <c r="G82" s="1635"/>
      <c r="H82" s="1631" t="s">
        <v>1858</v>
      </c>
    </row>
    <row r="83" spans="1:8" ht="18" customHeight="1">
      <c r="A83" s="1666"/>
      <c r="B83" s="1674"/>
      <c r="C83" s="1675"/>
      <c r="D83" s="1676"/>
      <c r="E83" s="1667" t="s">
        <v>1866</v>
      </c>
      <c r="F83" s="1668"/>
      <c r="G83" s="1681"/>
      <c r="H83" s="1631" t="s">
        <v>1858</v>
      </c>
    </row>
    <row r="84" spans="1:8" ht="18" customHeight="1">
      <c r="A84" s="1666"/>
      <c r="B84" s="1643"/>
      <c r="C84" s="1644"/>
      <c r="D84" s="1644"/>
      <c r="E84" s="1644"/>
      <c r="F84" s="1644"/>
      <c r="G84" s="1627"/>
      <c r="H84" s="1627"/>
    </row>
    <row r="85" spans="1:8" ht="18" customHeight="1">
      <c r="A85" s="1666"/>
      <c r="B85" s="1643"/>
      <c r="C85" s="1644" t="s">
        <v>1876</v>
      </c>
      <c r="D85" s="1644"/>
      <c r="E85" s="1644"/>
      <c r="F85" s="1644"/>
      <c r="G85" s="1627"/>
      <c r="H85" s="1627"/>
    </row>
    <row r="86" spans="1:8" ht="18" customHeight="1">
      <c r="A86" s="1666"/>
      <c r="B86" s="1643"/>
      <c r="C86" s="1644" t="s">
        <v>1877</v>
      </c>
      <c r="D86" s="1644"/>
      <c r="E86" s="1644"/>
      <c r="F86" s="1644"/>
      <c r="G86" s="1627"/>
      <c r="H86" s="1627"/>
    </row>
    <row r="87" spans="1:8" ht="18" customHeight="1">
      <c r="A87" s="1666"/>
      <c r="B87" s="1643"/>
      <c r="C87" s="1644"/>
      <c r="D87" s="1644"/>
      <c r="E87" s="1644"/>
      <c r="F87" s="1644"/>
      <c r="G87" s="1627"/>
      <c r="H87" s="1627"/>
    </row>
    <row r="88" spans="1:8" ht="18" customHeight="1">
      <c r="A88" s="1666"/>
      <c r="B88" s="1643"/>
      <c r="C88" s="1644"/>
      <c r="D88" s="1644"/>
      <c r="E88" s="1644"/>
      <c r="F88" s="1644"/>
      <c r="G88" s="1627"/>
      <c r="H88" s="1627"/>
    </row>
    <row r="89" spans="1:8" ht="18" customHeight="1">
      <c r="A89" s="1666"/>
      <c r="B89" s="1667">
        <v>4</v>
      </c>
      <c r="C89" s="1677" t="s">
        <v>1878</v>
      </c>
      <c r="D89" s="1677"/>
      <c r="E89" s="1677"/>
      <c r="F89" s="1677"/>
      <c r="G89" s="1698"/>
      <c r="H89" s="1627"/>
    </row>
  </sheetData>
  <mergeCells count="6">
    <mergeCell ref="A3:C3"/>
    <mergeCell ref="D3:G3"/>
    <mergeCell ref="B8:C8"/>
    <mergeCell ref="C9:E9"/>
    <mergeCell ref="C12:D12"/>
    <mergeCell ref="F12:F18"/>
  </mergeCells>
  <phoneticPr fontId="5"/>
  <dataValidations count="4">
    <dataValidation type="list" allowBlank="1" showInputMessage="1" showErrorMessage="1" sqref="G9" xr:uid="{00000000-0002-0000-0B00-000001000000}">
      <formula1>情報化施工_区分</formula1>
    </dataValidation>
    <dataValidation type="list" allowBlank="1" showInputMessage="1" showErrorMessage="1" sqref="G12:G18" xr:uid="{00000000-0002-0000-0B00-000002000000}">
      <formula1>ICT_種別</formula1>
    </dataValidation>
    <dataValidation type="whole" allowBlank="1" showInputMessage="1" showErrorMessage="1" sqref="G76:G82 G21:G41 G43:G74" xr:uid="{00000000-0002-0000-0B00-000003000000}">
      <formula1>0</formula1>
      <formula2>999999</formula2>
    </dataValidation>
    <dataValidation type="custom" allowBlank="1" showInputMessage="1" showErrorMessage="1" sqref="K11:K38" xr:uid="{00000000-0002-0000-0B00-000000000000}">
      <formula1>TRIM(K11)&lt;&gt;""</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1C96-E72F-48F4-B4BD-1AF3AAC4A159}">
  <sheetPr>
    <tabColor rgb="FF99CCFF"/>
  </sheetPr>
  <dimension ref="A1:L36"/>
  <sheetViews>
    <sheetView showGridLines="0" topLeftCell="A2" zoomScale="85" zoomScaleNormal="85" zoomScaleSheetLayoutView="100" workbookViewId="0">
      <selection activeCell="D11" sqref="D11"/>
    </sheetView>
  </sheetViews>
  <sheetFormatPr defaultRowHeight="13.5"/>
  <cols>
    <col min="1" max="1" width="4.375" style="736" customWidth="1"/>
    <col min="2" max="2" width="4.75" style="736" customWidth="1"/>
    <col min="3" max="3" width="16.25" style="734" customWidth="1"/>
    <col min="4" max="4" width="58.75" style="735" bestFit="1" customWidth="1"/>
    <col min="5" max="5" width="5.625" style="735" customWidth="1"/>
    <col min="6" max="6" width="28.625" style="735" customWidth="1"/>
    <col min="7" max="7" width="5" style="735" bestFit="1" customWidth="1"/>
    <col min="8" max="8" width="32.875" style="735" customWidth="1"/>
    <col min="9" max="9" width="4.125" style="735" customWidth="1"/>
    <col min="10" max="10" width="19.625" style="735" customWidth="1"/>
    <col min="11" max="12" width="9" style="735"/>
    <col min="13" max="16384" width="9" style="736"/>
  </cols>
  <sheetData>
    <row r="1" spans="1:12" ht="10.5" hidden="1" customHeight="1">
      <c r="A1" s="808" t="s">
        <v>120</v>
      </c>
      <c r="B1" s="808">
        <f>COUNTIF(E9:E35,"※")</f>
        <v>5</v>
      </c>
      <c r="C1" s="809" t="s">
        <v>643</v>
      </c>
      <c r="D1" s="808">
        <f>COUNTIF(F9:F35,"E")</f>
        <v>0</v>
      </c>
      <c r="G1" s="49"/>
      <c r="H1" s="49"/>
      <c r="I1" s="1683"/>
      <c r="J1" s="49"/>
    </row>
    <row r="2" spans="1:12" ht="15.75" customHeight="1">
      <c r="A2" s="49"/>
      <c r="B2" s="49"/>
      <c r="C2" s="49"/>
      <c r="D2" s="49"/>
      <c r="E2" s="49"/>
      <c r="F2" s="49"/>
      <c r="G2" s="49"/>
      <c r="H2" s="49"/>
      <c r="I2" s="74"/>
      <c r="J2" s="49"/>
    </row>
    <row r="3" spans="1:12" ht="24" customHeight="1">
      <c r="A3" s="2277" t="s">
        <v>707</v>
      </c>
      <c r="B3" s="2567"/>
      <c r="C3" s="2366"/>
      <c r="D3" s="2568" t="str">
        <f>IF(工事情報!G4="","",工事情報!G4)</f>
        <v/>
      </c>
      <c r="E3" s="2569"/>
      <c r="F3" s="2569"/>
      <c r="G3" s="2570"/>
      <c r="H3" s="2061"/>
      <c r="I3" s="2061"/>
    </row>
    <row r="4" spans="1:12" ht="30" customHeight="1"/>
    <row r="5" spans="1:12">
      <c r="A5" s="1640"/>
      <c r="B5" s="2073" t="s">
        <v>2328</v>
      </c>
      <c r="C5" s="1642"/>
      <c r="D5" s="1642"/>
      <c r="E5" s="1642"/>
      <c r="F5" s="1642"/>
      <c r="G5" s="1625"/>
      <c r="H5" s="1492"/>
      <c r="I5" s="1492"/>
      <c r="J5" s="1492"/>
      <c r="K5" s="1492"/>
      <c r="L5" s="1492"/>
    </row>
    <row r="6" spans="1:12">
      <c r="A6" s="1620"/>
      <c r="B6" s="1626" t="s">
        <v>2333</v>
      </c>
      <c r="C6" s="1642"/>
      <c r="D6" s="1642"/>
      <c r="E6" s="1642"/>
      <c r="F6" s="1642"/>
      <c r="G6" s="1625"/>
      <c r="H6" s="1492"/>
      <c r="I6" s="1492"/>
      <c r="J6" s="1492"/>
      <c r="K6" s="1492"/>
      <c r="L6" s="1492"/>
    </row>
    <row r="7" spans="1:12">
      <c r="A7" s="1640"/>
      <c r="B7" s="1643"/>
      <c r="C7" s="1644"/>
      <c r="D7" s="1644"/>
      <c r="E7" s="1644"/>
      <c r="F7" s="1644"/>
      <c r="G7" s="1627"/>
      <c r="H7" s="1492"/>
      <c r="I7" s="1492"/>
      <c r="J7" s="1492"/>
      <c r="K7" s="1492"/>
      <c r="L7" s="1492"/>
    </row>
    <row r="8" spans="1:12">
      <c r="A8" s="1640"/>
      <c r="B8" s="2578" t="s">
        <v>1930</v>
      </c>
      <c r="C8" s="2579"/>
      <c r="D8" s="2081" t="s">
        <v>2330</v>
      </c>
      <c r="E8" s="2578" t="s">
        <v>2334</v>
      </c>
      <c r="F8" s="2579"/>
      <c r="G8" s="1627"/>
      <c r="H8" s="1492"/>
      <c r="I8" s="1492"/>
      <c r="J8" s="1492"/>
      <c r="K8" s="1492"/>
      <c r="L8" s="1492"/>
    </row>
    <row r="9" spans="1:12" ht="18" customHeight="1">
      <c r="A9" s="1619"/>
      <c r="B9" s="2076">
        <v>1</v>
      </c>
      <c r="C9" s="2077" t="s">
        <v>2329</v>
      </c>
      <c r="D9" s="1670" t="s">
        <v>2331</v>
      </c>
      <c r="E9" s="2119" t="str">
        <f>IF(F9="","※","")</f>
        <v>※</v>
      </c>
      <c r="F9" s="1700"/>
      <c r="G9" s="1631" t="s">
        <v>1858</v>
      </c>
      <c r="H9" s="1686"/>
      <c r="I9" s="1623"/>
      <c r="J9" s="1691"/>
      <c r="K9" s="882"/>
      <c r="L9" s="882"/>
    </row>
    <row r="10" spans="1:12" ht="18" customHeight="1">
      <c r="A10" s="1646"/>
      <c r="B10" s="1657"/>
      <c r="C10" s="1658"/>
      <c r="D10" s="1662" t="s">
        <v>2332</v>
      </c>
      <c r="E10" s="2120" t="str">
        <f>IF(F10="","※","")</f>
        <v>※</v>
      </c>
      <c r="F10" s="1635"/>
      <c r="G10" s="1631" t="s">
        <v>1858</v>
      </c>
      <c r="H10" s="1687"/>
      <c r="I10" s="1492"/>
      <c r="J10" s="1691"/>
      <c r="K10" s="882"/>
      <c r="L10" s="882"/>
    </row>
    <row r="11" spans="1:12" ht="18" customHeight="1">
      <c r="A11" s="1646"/>
      <c r="B11" s="1657"/>
      <c r="C11" s="2074" t="s">
        <v>1865</v>
      </c>
      <c r="D11" s="1678"/>
      <c r="E11" s="2120" t="str">
        <f>IF(D11="","",IF(F11="","※",""))</f>
        <v/>
      </c>
      <c r="F11" s="1635"/>
      <c r="G11" s="1631" t="s">
        <v>1858</v>
      </c>
      <c r="H11" s="1690"/>
      <c r="I11" s="1492"/>
      <c r="J11" s="1691"/>
      <c r="K11" s="882"/>
      <c r="L11" s="882"/>
    </row>
    <row r="12" spans="1:12" ht="18" customHeight="1">
      <c r="A12" s="1646"/>
      <c r="B12" s="1657"/>
      <c r="C12" s="2074" t="s">
        <v>1865</v>
      </c>
      <c r="D12" s="1678"/>
      <c r="E12" s="2120" t="str">
        <f t="shared" ref="E12:E20" si="0">IF(D12="","",IF(F12="","※",""))</f>
        <v/>
      </c>
      <c r="F12" s="1635"/>
      <c r="G12" s="1631" t="s">
        <v>1858</v>
      </c>
      <c r="H12" s="1690"/>
      <c r="I12" s="1492"/>
      <c r="J12" s="1691"/>
      <c r="K12" s="882"/>
      <c r="L12" s="882"/>
    </row>
    <row r="13" spans="1:12" ht="18" customHeight="1">
      <c r="A13" s="1646"/>
      <c r="B13" s="1657"/>
      <c r="C13" s="2074" t="s">
        <v>1865</v>
      </c>
      <c r="D13" s="1678"/>
      <c r="E13" s="2120" t="str">
        <f t="shared" si="0"/>
        <v/>
      </c>
      <c r="F13" s="1635"/>
      <c r="G13" s="1631" t="s">
        <v>1858</v>
      </c>
      <c r="H13" s="1492"/>
      <c r="I13" s="1492"/>
      <c r="J13" s="1492"/>
      <c r="K13" s="882"/>
      <c r="L13" s="1492"/>
    </row>
    <row r="14" spans="1:12" ht="18" customHeight="1">
      <c r="A14" s="1646"/>
      <c r="B14" s="1657"/>
      <c r="C14" s="2074" t="s">
        <v>1865</v>
      </c>
      <c r="D14" s="1678"/>
      <c r="E14" s="2120" t="str">
        <f t="shared" ref="E14:E18" si="1">IF(D14="","",IF(F14="","※",""))</f>
        <v/>
      </c>
      <c r="F14" s="1635"/>
      <c r="G14" s="1631" t="s">
        <v>1858</v>
      </c>
      <c r="H14" s="1492"/>
      <c r="I14" s="1492"/>
      <c r="J14" s="1492"/>
      <c r="K14" s="882"/>
      <c r="L14" s="1492"/>
    </row>
    <row r="15" spans="1:12" ht="18" customHeight="1">
      <c r="A15" s="1646"/>
      <c r="B15" s="1657"/>
      <c r="C15" s="2074" t="s">
        <v>1865</v>
      </c>
      <c r="D15" s="1678"/>
      <c r="E15" s="2120" t="str">
        <f t="shared" si="1"/>
        <v/>
      </c>
      <c r="F15" s="1635"/>
      <c r="G15" s="1631" t="s">
        <v>1858</v>
      </c>
      <c r="H15" s="1492"/>
      <c r="I15" s="1492"/>
      <c r="J15" s="1492"/>
      <c r="K15" s="882"/>
      <c r="L15" s="1492"/>
    </row>
    <row r="16" spans="1:12" ht="18" customHeight="1">
      <c r="A16" s="1646"/>
      <c r="B16" s="1657"/>
      <c r="C16" s="2074" t="s">
        <v>1865</v>
      </c>
      <c r="D16" s="1678"/>
      <c r="E16" s="2120" t="str">
        <f t="shared" si="1"/>
        <v/>
      </c>
      <c r="F16" s="1635"/>
      <c r="G16" s="1631" t="s">
        <v>1858</v>
      </c>
      <c r="H16" s="1492"/>
      <c r="I16" s="1492"/>
      <c r="J16" s="1492"/>
      <c r="K16" s="882"/>
      <c r="L16" s="1492"/>
    </row>
    <row r="17" spans="1:12" ht="18" customHeight="1">
      <c r="A17" s="1646"/>
      <c r="B17" s="1657"/>
      <c r="C17" s="2074" t="s">
        <v>1865</v>
      </c>
      <c r="D17" s="1678"/>
      <c r="E17" s="2120" t="str">
        <f t="shared" si="1"/>
        <v/>
      </c>
      <c r="F17" s="1635"/>
      <c r="G17" s="1631" t="s">
        <v>1858</v>
      </c>
      <c r="H17" s="1492"/>
      <c r="I17" s="1492"/>
      <c r="J17" s="1492"/>
      <c r="K17" s="882"/>
      <c r="L17" s="1492"/>
    </row>
    <row r="18" spans="1:12" ht="18" customHeight="1">
      <c r="A18" s="1646"/>
      <c r="B18" s="1657"/>
      <c r="C18" s="2074" t="s">
        <v>1865</v>
      </c>
      <c r="D18" s="1678"/>
      <c r="E18" s="2120" t="str">
        <f t="shared" si="1"/>
        <v/>
      </c>
      <c r="F18" s="1635"/>
      <c r="G18" s="1631" t="s">
        <v>1858</v>
      </c>
      <c r="H18" s="1492"/>
      <c r="I18" s="1492"/>
      <c r="J18" s="1492"/>
      <c r="K18" s="882"/>
      <c r="L18" s="1492"/>
    </row>
    <row r="19" spans="1:12" ht="18" customHeight="1">
      <c r="A19" s="1646"/>
      <c r="B19" s="1657"/>
      <c r="C19" s="2074" t="s">
        <v>1865</v>
      </c>
      <c r="D19" s="1678"/>
      <c r="E19" s="2120" t="str">
        <f t="shared" si="0"/>
        <v/>
      </c>
      <c r="F19" s="1635"/>
      <c r="G19" s="1631" t="s">
        <v>1858</v>
      </c>
      <c r="H19" s="1492"/>
      <c r="I19" s="1492"/>
      <c r="J19" s="1492"/>
      <c r="K19" s="882"/>
      <c r="L19" s="1492"/>
    </row>
    <row r="20" spans="1:12" ht="18" customHeight="1">
      <c r="A20" s="1646"/>
      <c r="B20" s="1657"/>
      <c r="C20" s="2074" t="s">
        <v>1865</v>
      </c>
      <c r="D20" s="2078"/>
      <c r="E20" s="2121" t="str">
        <f t="shared" si="0"/>
        <v/>
      </c>
      <c r="F20" s="2079"/>
      <c r="G20" s="1631" t="s">
        <v>1858</v>
      </c>
      <c r="H20" s="1492"/>
      <c r="I20" s="1492"/>
      <c r="J20" s="1492"/>
      <c r="K20" s="1492"/>
      <c r="L20" s="1492"/>
    </row>
    <row r="21" spans="1:12" ht="18" customHeight="1">
      <c r="A21" s="1666"/>
      <c r="B21" s="1674"/>
      <c r="C21" s="1675"/>
      <c r="D21" s="1674"/>
      <c r="E21" s="2081" t="s">
        <v>1079</v>
      </c>
      <c r="F21" s="2075">
        <f>SUM(F9:F20)</f>
        <v>0</v>
      </c>
      <c r="G21" s="1631" t="s">
        <v>1858</v>
      </c>
    </row>
    <row r="22" spans="1:12" ht="18" customHeight="1">
      <c r="A22" s="1619"/>
      <c r="B22" s="2076">
        <v>2</v>
      </c>
      <c r="C22" s="2077" t="s">
        <v>2335</v>
      </c>
      <c r="D22" s="2082" t="s">
        <v>2336</v>
      </c>
      <c r="E22" s="2119" t="str">
        <f>IF(F22="","※","")</f>
        <v>※</v>
      </c>
      <c r="F22" s="1700"/>
      <c r="G22" s="1631" t="s">
        <v>1858</v>
      </c>
      <c r="H22" s="1686"/>
      <c r="I22" s="1623"/>
      <c r="J22" s="1691"/>
      <c r="K22" s="882"/>
      <c r="L22" s="882"/>
    </row>
    <row r="23" spans="1:12" ht="18" customHeight="1">
      <c r="A23" s="1646"/>
      <c r="B23" s="1657"/>
      <c r="C23" s="1658"/>
      <c r="D23" s="1662" t="s">
        <v>2337</v>
      </c>
      <c r="E23" s="2120" t="str">
        <f t="shared" ref="E23:E24" si="2">IF(F23="","※","")</f>
        <v>※</v>
      </c>
      <c r="F23" s="1635"/>
      <c r="G23" s="1631" t="s">
        <v>1858</v>
      </c>
      <c r="H23" s="1687"/>
      <c r="I23" s="1492"/>
      <c r="J23" s="1691"/>
      <c r="K23" s="882"/>
      <c r="L23" s="882"/>
    </row>
    <row r="24" spans="1:12" ht="18" customHeight="1">
      <c r="A24" s="1646"/>
      <c r="B24" s="1657"/>
      <c r="C24" s="1658"/>
      <c r="D24" s="1662" t="s">
        <v>2338</v>
      </c>
      <c r="E24" s="2120" t="str">
        <f t="shared" si="2"/>
        <v>※</v>
      </c>
      <c r="F24" s="1635"/>
      <c r="G24" s="1631" t="s">
        <v>1858</v>
      </c>
      <c r="H24" s="1687"/>
      <c r="I24" s="1492"/>
      <c r="J24" s="1691"/>
      <c r="K24" s="882"/>
      <c r="L24" s="882"/>
    </row>
    <row r="25" spans="1:12" ht="18" customHeight="1">
      <c r="A25" s="1646"/>
      <c r="B25" s="1657"/>
      <c r="C25" s="2074" t="s">
        <v>1865</v>
      </c>
      <c r="D25" s="1678"/>
      <c r="E25" s="2120" t="str">
        <f t="shared" ref="E25:E34" si="3">IF(D25="","",IF(F25="","※",""))</f>
        <v/>
      </c>
      <c r="F25" s="1635"/>
      <c r="G25" s="1631" t="s">
        <v>1858</v>
      </c>
      <c r="H25" s="1690"/>
      <c r="I25" s="1492"/>
      <c r="J25" s="1691"/>
      <c r="K25" s="882"/>
      <c r="L25" s="882"/>
    </row>
    <row r="26" spans="1:12" ht="18" customHeight="1">
      <c r="A26" s="1646"/>
      <c r="B26" s="1657"/>
      <c r="C26" s="2074" t="s">
        <v>1865</v>
      </c>
      <c r="D26" s="1678"/>
      <c r="E26" s="2120" t="str">
        <f t="shared" si="3"/>
        <v/>
      </c>
      <c r="F26" s="1635"/>
      <c r="G26" s="1631" t="s">
        <v>1858</v>
      </c>
      <c r="H26" s="1690"/>
      <c r="I26" s="1492"/>
      <c r="J26" s="1691"/>
      <c r="K26" s="882"/>
      <c r="L26" s="882"/>
    </row>
    <row r="27" spans="1:12" ht="18" customHeight="1">
      <c r="A27" s="1646"/>
      <c r="B27" s="1657"/>
      <c r="C27" s="2074" t="s">
        <v>1865</v>
      </c>
      <c r="D27" s="1678"/>
      <c r="E27" s="2120" t="str">
        <f t="shared" ref="E27:E31" si="4">IF(D27="","",IF(F27="","※",""))</f>
        <v/>
      </c>
      <c r="F27" s="1635"/>
      <c r="G27" s="1631" t="s">
        <v>1858</v>
      </c>
      <c r="H27" s="1690"/>
      <c r="I27" s="1492"/>
      <c r="J27" s="1691"/>
      <c r="K27" s="882"/>
      <c r="L27" s="882"/>
    </row>
    <row r="28" spans="1:12" ht="18" customHeight="1">
      <c r="A28" s="1646"/>
      <c r="B28" s="1657"/>
      <c r="C28" s="2074" t="s">
        <v>1865</v>
      </c>
      <c r="D28" s="1678"/>
      <c r="E28" s="2120" t="str">
        <f t="shared" si="4"/>
        <v/>
      </c>
      <c r="F28" s="1635"/>
      <c r="G28" s="1631" t="s">
        <v>1858</v>
      </c>
      <c r="H28" s="1690"/>
      <c r="I28" s="1492"/>
      <c r="J28" s="1691"/>
      <c r="K28" s="882"/>
      <c r="L28" s="882"/>
    </row>
    <row r="29" spans="1:12" ht="18" customHeight="1">
      <c r="A29" s="1646"/>
      <c r="B29" s="1657"/>
      <c r="C29" s="2074" t="s">
        <v>1865</v>
      </c>
      <c r="D29" s="1678"/>
      <c r="E29" s="2120" t="str">
        <f t="shared" si="4"/>
        <v/>
      </c>
      <c r="F29" s="1635"/>
      <c r="G29" s="1631" t="s">
        <v>1858</v>
      </c>
      <c r="H29" s="1690"/>
      <c r="I29" s="1492"/>
      <c r="J29" s="1691"/>
      <c r="K29" s="882"/>
      <c r="L29" s="882"/>
    </row>
    <row r="30" spans="1:12" ht="18" customHeight="1">
      <c r="A30" s="1646"/>
      <c r="B30" s="1657"/>
      <c r="C30" s="2074" t="s">
        <v>1865</v>
      </c>
      <c r="D30" s="1678"/>
      <c r="E30" s="2120" t="str">
        <f t="shared" si="4"/>
        <v/>
      </c>
      <c r="F30" s="1635"/>
      <c r="G30" s="1631" t="s">
        <v>1858</v>
      </c>
      <c r="H30" s="1690"/>
      <c r="I30" s="1492"/>
      <c r="J30" s="1691"/>
      <c r="K30" s="882"/>
      <c r="L30" s="882"/>
    </row>
    <row r="31" spans="1:12" ht="18" customHeight="1">
      <c r="A31" s="1646"/>
      <c r="B31" s="1657"/>
      <c r="C31" s="2074" t="s">
        <v>1865</v>
      </c>
      <c r="D31" s="1678"/>
      <c r="E31" s="2120" t="str">
        <f t="shared" si="4"/>
        <v/>
      </c>
      <c r="F31" s="1635"/>
      <c r="G31" s="1631" t="s">
        <v>1858</v>
      </c>
      <c r="H31" s="1690"/>
      <c r="I31" s="1492"/>
      <c r="J31" s="1691"/>
      <c r="K31" s="882"/>
      <c r="L31" s="882"/>
    </row>
    <row r="32" spans="1:12" ht="18" customHeight="1">
      <c r="A32" s="1646"/>
      <c r="B32" s="1657"/>
      <c r="C32" s="2074" t="s">
        <v>1865</v>
      </c>
      <c r="D32" s="1678"/>
      <c r="E32" s="2120" t="str">
        <f t="shared" si="3"/>
        <v/>
      </c>
      <c r="F32" s="1635"/>
      <c r="G32" s="1631" t="s">
        <v>1858</v>
      </c>
      <c r="H32" s="1492"/>
      <c r="I32" s="1492"/>
      <c r="J32" s="1492"/>
      <c r="K32" s="882"/>
      <c r="L32" s="1492"/>
    </row>
    <row r="33" spans="1:12" ht="18" customHeight="1">
      <c r="A33" s="1646"/>
      <c r="B33" s="1657"/>
      <c r="C33" s="2074" t="s">
        <v>1865</v>
      </c>
      <c r="D33" s="1678"/>
      <c r="E33" s="2120" t="str">
        <f t="shared" si="3"/>
        <v/>
      </c>
      <c r="F33" s="1635"/>
      <c r="G33" s="1631" t="s">
        <v>1858</v>
      </c>
      <c r="H33" s="1492"/>
      <c r="I33" s="1492"/>
      <c r="J33" s="1492"/>
      <c r="K33" s="882"/>
      <c r="L33" s="1492"/>
    </row>
    <row r="34" spans="1:12" ht="18" customHeight="1">
      <c r="A34" s="1646"/>
      <c r="B34" s="1657"/>
      <c r="C34" s="2074" t="s">
        <v>1865</v>
      </c>
      <c r="D34" s="2078"/>
      <c r="E34" s="2121" t="str">
        <f t="shared" si="3"/>
        <v/>
      </c>
      <c r="F34" s="2079"/>
      <c r="G34" s="1631" t="s">
        <v>1858</v>
      </c>
      <c r="H34" s="1492"/>
      <c r="I34" s="1492"/>
      <c r="J34" s="1492"/>
      <c r="K34" s="1492"/>
      <c r="L34" s="1492"/>
    </row>
    <row r="35" spans="1:12" ht="18" customHeight="1">
      <c r="A35" s="1666"/>
      <c r="B35" s="1674"/>
      <c r="C35" s="1675"/>
      <c r="D35" s="1674"/>
      <c r="E35" s="2080" t="s">
        <v>1079</v>
      </c>
      <c r="F35" s="2075">
        <f>SUM(F22:F34)</f>
        <v>0</v>
      </c>
      <c r="G35" s="1631" t="s">
        <v>1858</v>
      </c>
    </row>
    <row r="36" spans="1:12" s="735" customFormat="1" ht="18" customHeight="1">
      <c r="A36" s="1666"/>
      <c r="B36" s="1643"/>
      <c r="C36" s="1644"/>
      <c r="D36" s="1644"/>
      <c r="E36" s="1644"/>
      <c r="F36" s="1644"/>
      <c r="G36" s="1627"/>
    </row>
  </sheetData>
  <sheetProtection algorithmName="SHA-512" hashValue="qSx+oXQMvEN24f53loMvK4W7FGr6wMJCqfhDScHo34d7kkL+vqXBHDIGGD9CS0ed30AH8uCojuYN7B9gnQmDiQ==" saltValue="ZfLBK4N1ZMXqC7oJelEKaQ==" spinCount="100000" sheet="1" objects="1" scenarios="1"/>
  <mergeCells count="4">
    <mergeCell ref="B8:C8"/>
    <mergeCell ref="E8:F8"/>
    <mergeCell ref="A3:C3"/>
    <mergeCell ref="D3:G3"/>
  </mergeCells>
  <phoneticPr fontId="5"/>
  <dataValidations count="2">
    <dataValidation type="whole" allowBlank="1" showInputMessage="1" showErrorMessage="1" sqref="F9:F20 F22:F34" xr:uid="{8DF8C632-2187-422F-B266-7ED8EF9A3B47}">
      <formula1>0</formula1>
      <formula2>999999</formula2>
    </dataValidation>
    <dataValidation type="custom" allowBlank="1" showInputMessage="1" showErrorMessage="1" sqref="J9:J12 J22:J31" xr:uid="{7B03B42C-C3A8-4905-9785-01E2D3A2163C}">
      <formula1>TRIM(J9)&lt;&gt;""</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99CCFF"/>
  </sheetPr>
  <dimension ref="A1:S68"/>
  <sheetViews>
    <sheetView showGridLines="0" topLeftCell="A33" zoomScaleNormal="100" zoomScaleSheetLayoutView="85" workbookViewId="0">
      <selection activeCell="G38" sqref="G38"/>
    </sheetView>
  </sheetViews>
  <sheetFormatPr defaultRowHeight="13.5"/>
  <cols>
    <col min="1" max="1" width="1.75" style="152" customWidth="1"/>
    <col min="2" max="2" width="2.75" style="152" customWidth="1"/>
    <col min="3" max="3" width="10.625" style="152" customWidth="1"/>
    <col min="4" max="4" width="3.75" style="152" customWidth="1"/>
    <col min="5" max="5" width="10.625" style="152" customWidth="1"/>
    <col min="6" max="6" width="3" style="152" customWidth="1"/>
    <col min="7" max="7" width="10.625" style="152" customWidth="1"/>
    <col min="8" max="8" width="4.75" style="152" customWidth="1"/>
    <col min="9" max="9" width="9" style="152"/>
    <col min="10" max="10" width="8.625" style="152" customWidth="1"/>
    <col min="11" max="11" width="36.5" style="152" customWidth="1"/>
    <col min="12" max="12" width="27.125" style="152" customWidth="1"/>
    <col min="13" max="13" width="12.375" style="152" customWidth="1"/>
    <col min="14" max="19" width="12.375" style="152" hidden="1" customWidth="1"/>
    <col min="20" max="16384" width="9" style="152"/>
  </cols>
  <sheetData>
    <row r="1" spans="1:19" ht="19.5" hidden="1" customHeight="1">
      <c r="A1" s="808" t="s">
        <v>642</v>
      </c>
      <c r="B1" s="808">
        <f>SUM(G38:G60)</f>
        <v>162</v>
      </c>
      <c r="C1" s="809" t="s">
        <v>643</v>
      </c>
      <c r="D1" s="808">
        <f>SUM(I38:I60)</f>
        <v>0</v>
      </c>
      <c r="M1" s="592"/>
      <c r="N1" s="592"/>
      <c r="O1" s="592"/>
      <c r="P1" s="592"/>
      <c r="Q1" s="592"/>
      <c r="R1" s="592"/>
      <c r="S1" s="592"/>
    </row>
    <row r="2" spans="1:19" ht="27" hidden="1" customHeight="1">
      <c r="A2" s="1275"/>
      <c r="M2" s="592"/>
      <c r="N2" s="592"/>
      <c r="O2" s="592"/>
      <c r="P2" s="592"/>
      <c r="Q2" s="592"/>
      <c r="R2" s="592"/>
      <c r="S2" s="592"/>
    </row>
    <row r="3" spans="1:19" ht="24" hidden="1" customHeight="1">
      <c r="A3" s="1275"/>
      <c r="B3" s="349" t="s">
        <v>707</v>
      </c>
      <c r="C3" s="350"/>
      <c r="D3" s="351"/>
      <c r="E3" s="2580" t="str">
        <f>IF(工事情報!G4="","",工事情報!G4)</f>
        <v/>
      </c>
      <c r="F3" s="2581"/>
      <c r="G3" s="2581"/>
      <c r="H3" s="2581"/>
      <c r="I3" s="2581"/>
      <c r="J3" s="2582"/>
      <c r="M3" s="592"/>
      <c r="N3" s="592"/>
      <c r="O3" s="592"/>
      <c r="P3" s="592"/>
      <c r="Q3" s="592"/>
      <c r="R3" s="592"/>
      <c r="S3" s="592"/>
    </row>
    <row r="4" spans="1:19" ht="30" hidden="1" customHeight="1">
      <c r="A4" s="1275"/>
      <c r="M4" s="592"/>
      <c r="N4" s="592"/>
      <c r="O4" s="592"/>
      <c r="P4" s="592"/>
      <c r="Q4" s="592"/>
      <c r="R4" s="592"/>
      <c r="S4" s="592"/>
    </row>
    <row r="5" spans="1:19" ht="9.75" hidden="1" customHeight="1">
      <c r="A5" s="1275"/>
      <c r="C5" s="182"/>
      <c r="L5" s="1035"/>
    </row>
    <row r="6" spans="1:19" ht="9.75" hidden="1" customHeight="1">
      <c r="A6" s="1275"/>
      <c r="K6" s="2596" t="s">
        <v>1120</v>
      </c>
      <c r="L6" s="2597"/>
    </row>
    <row r="7" spans="1:19" ht="20.100000000000001" hidden="1" customHeight="1">
      <c r="A7" s="1275"/>
      <c r="B7" s="334" t="s">
        <v>1121</v>
      </c>
      <c r="C7" s="182"/>
      <c r="D7" s="1036"/>
      <c r="E7" s="1036"/>
      <c r="F7" s="1036"/>
      <c r="G7" s="1036"/>
      <c r="H7" s="1036"/>
      <c r="I7" s="1036"/>
      <c r="J7" s="1036"/>
      <c r="K7" s="2598"/>
      <c r="L7" s="2599"/>
    </row>
    <row r="8" spans="1:19" ht="15.75" hidden="1" customHeight="1">
      <c r="A8" s="1275"/>
      <c r="B8" s="1037" t="s">
        <v>1122</v>
      </c>
      <c r="C8" s="218"/>
      <c r="D8" s="1036"/>
      <c r="E8" s="1036"/>
      <c r="F8" s="1036"/>
      <c r="G8" s="1036"/>
      <c r="H8" s="1036"/>
      <c r="I8" s="1036"/>
      <c r="J8" s="1036"/>
      <c r="K8" s="1036"/>
      <c r="L8" s="1036"/>
    </row>
    <row r="9" spans="1:19" ht="15.75" hidden="1" customHeight="1">
      <c r="A9" s="1275"/>
      <c r="B9" s="1037" t="s">
        <v>1123</v>
      </c>
      <c r="C9" s="218"/>
      <c r="D9" s="1036"/>
      <c r="E9" s="1036"/>
      <c r="F9" s="1036"/>
      <c r="G9" s="1036"/>
      <c r="H9" s="1036"/>
      <c r="I9" s="1036"/>
      <c r="J9" s="1036"/>
      <c r="K9" s="1036"/>
      <c r="L9" s="1036"/>
    </row>
    <row r="10" spans="1:19" ht="15.75" hidden="1" customHeight="1">
      <c r="A10" s="1275"/>
      <c r="B10" s="1037" t="s">
        <v>1124</v>
      </c>
      <c r="C10" s="218"/>
      <c r="D10" s="1036"/>
      <c r="E10" s="1036"/>
      <c r="F10" s="1036"/>
      <c r="G10" s="1036"/>
      <c r="H10" s="1036"/>
      <c r="I10" s="1036"/>
      <c r="J10" s="1036"/>
      <c r="K10" s="1036"/>
      <c r="L10" s="1036"/>
    </row>
    <row r="11" spans="1:19" ht="15.75" hidden="1" customHeight="1">
      <c r="A11" s="1482"/>
      <c r="B11" s="1037" t="s">
        <v>1125</v>
      </c>
      <c r="C11" s="218"/>
      <c r="D11" s="1036"/>
      <c r="E11" s="1036"/>
      <c r="F11" s="1036"/>
      <c r="G11" s="1036"/>
      <c r="H11" s="1036"/>
      <c r="I11" s="1036"/>
      <c r="J11" s="1036"/>
      <c r="K11" s="1036"/>
      <c r="L11" s="1036"/>
      <c r="N11" s="1275"/>
      <c r="O11" s="1275"/>
      <c r="P11" s="1275"/>
      <c r="Q11" s="1275"/>
      <c r="R11" s="1275"/>
      <c r="S11" s="1275"/>
    </row>
    <row r="12" spans="1:19" s="192" customFormat="1" ht="27" hidden="1" customHeight="1">
      <c r="A12" s="1483"/>
      <c r="B12" s="2309" t="s">
        <v>754</v>
      </c>
      <c r="C12" s="2563"/>
      <c r="D12" s="2563"/>
      <c r="E12" s="2310"/>
      <c r="F12" s="2600" t="s">
        <v>1126</v>
      </c>
      <c r="G12" s="2344"/>
      <c r="H12" s="2600" t="s">
        <v>1127</v>
      </c>
      <c r="I12" s="2344"/>
      <c r="J12" s="336" t="s">
        <v>1128</v>
      </c>
      <c r="K12" s="336" t="s">
        <v>1129</v>
      </c>
      <c r="L12" s="1038" t="s">
        <v>1130</v>
      </c>
      <c r="O12" s="1039"/>
    </row>
    <row r="13" spans="1:19" s="192" customFormat="1" ht="69" hidden="1" customHeight="1">
      <c r="A13" s="1483"/>
      <c r="B13" s="2601" t="s">
        <v>1131</v>
      </c>
      <c r="C13" s="2602"/>
      <c r="D13" s="2602"/>
      <c r="E13" s="2603"/>
      <c r="F13" s="2604">
        <f>工事費!J59</f>
        <v>0</v>
      </c>
      <c r="G13" s="2605"/>
      <c r="H13" s="2606">
        <f>工事費!J60</f>
        <v>0</v>
      </c>
      <c r="I13" s="2607"/>
      <c r="J13" s="1040" t="str">
        <f>IF(L13&lt;&gt;"","OK",IF(OR(F13="",H13=0)=TRUE,"エラー",IF(ABS(F13-H13)&gt;=10,"エラー","OK")))</f>
        <v>エラー</v>
      </c>
      <c r="K13" s="1041" t="str">
        <f>IF(F13="",N13,IF(F13=0,O13,IF(ABS(F13-H13)&gt;=10,P13,"")))</f>
        <v>共通仮設費積算対象金額が「0」です。
「工事費」シートで金額を入力してください。</v>
      </c>
      <c r="L13" s="1042"/>
      <c r="N13" s="1043" t="s">
        <v>1132</v>
      </c>
      <c r="O13" s="1043" t="s">
        <v>1133</v>
      </c>
      <c r="P13" s="1044" t="s">
        <v>1134</v>
      </c>
    </row>
    <row r="14" spans="1:19" s="192" customFormat="1" ht="69" hidden="1" customHeight="1">
      <c r="A14" s="1483"/>
      <c r="B14" s="2588" t="s">
        <v>1135</v>
      </c>
      <c r="C14" s="2589"/>
      <c r="D14" s="2589"/>
      <c r="E14" s="2590"/>
      <c r="F14" s="2591">
        <f>工事費!J38</f>
        <v>0</v>
      </c>
      <c r="G14" s="2592"/>
      <c r="H14" s="2593">
        <f>IF(ISERROR(KKS!C6)=TRUE,0,IF(KKS!C6="参考値なし","参考値なし",KKS!C6))</f>
        <v>0</v>
      </c>
      <c r="I14" s="2594"/>
      <c r="J14" s="1045" t="str">
        <f>IF(L14&lt;&gt;"","OK",IF(OR(F14="",F14=0)=TRUE,"エラー",IF(H14="参考値なし","OK",IF(H14="「大都市」設定なし","エラー",IF(ABS(F14-H14)&gt;=10,"エラー","OK")))))</f>
        <v>エラー</v>
      </c>
      <c r="K14" s="1046" t="str">
        <f>IF(F14="",N14,IF(F14=0,O14,IF(H24="",P14,IF(H25="",Q14,IF(H14="参考値なし","",IF(H14="「大都市」設定なし",S14,IF(ABS(F14-H14)&gt;=10,R14,"")))))))</f>
        <v>共通仮設費の率分が「0」です。
「工事費」シートで金額を入力してください。</v>
      </c>
      <c r="L14" s="1047"/>
      <c r="N14" s="1043" t="s">
        <v>1136</v>
      </c>
      <c r="O14" s="1043" t="s">
        <v>1137</v>
      </c>
      <c r="P14" s="1043" t="s">
        <v>1138</v>
      </c>
      <c r="Q14" s="1043" t="s">
        <v>1139</v>
      </c>
      <c r="R14" s="1043" t="s">
        <v>1140</v>
      </c>
      <c r="S14" s="1048" t="s">
        <v>1141</v>
      </c>
    </row>
    <row r="15" spans="1:19" s="192" customFormat="1" ht="14.25" hidden="1" customHeight="1">
      <c r="A15" s="1483"/>
      <c r="B15" s="1049" t="s">
        <v>1142</v>
      </c>
      <c r="C15" s="1050"/>
      <c r="D15" s="1051"/>
      <c r="E15" s="237"/>
      <c r="F15" s="1052"/>
      <c r="G15" s="1053"/>
      <c r="H15" s="1054"/>
      <c r="I15" s="1055"/>
      <c r="J15" s="337"/>
      <c r="O15" s="1039"/>
    </row>
    <row r="16" spans="1:19" s="192" customFormat="1" ht="14.25" hidden="1" customHeight="1">
      <c r="A16" s="1484"/>
      <c r="B16" s="1056" t="str">
        <f>B13&amp;"（自動計算値）　=　"&amp;工事費!J9&amp;"　＋　"&amp;工事費!J11&amp;"　＋　"&amp;工事費!J16&amp;"　＋　"&amp;工事費!J30&amp;"　＋　"&amp;工事費!J29&amp;"　-　"&amp;工事費!O344</f>
        <v>　共通仮設費積算対象金額（自動計算値）　=　　＋　　＋　　＋　　＋　　-　0</v>
      </c>
      <c r="C16" s="228"/>
      <c r="D16" s="228"/>
      <c r="E16" s="228"/>
      <c r="F16" s="228"/>
      <c r="G16" s="228"/>
      <c r="H16" s="228"/>
      <c r="I16" s="228"/>
      <c r="J16" s="228"/>
      <c r="K16" s="228"/>
      <c r="L16" s="228"/>
      <c r="M16" s="228"/>
      <c r="N16" s="381"/>
      <c r="O16" s="806"/>
      <c r="P16" s="806"/>
    </row>
    <row r="17" spans="1:16" s="192" customFormat="1" ht="14.25" hidden="1" customHeight="1">
      <c r="A17" s="1485"/>
      <c r="B17" s="228" t="s">
        <v>1143</v>
      </c>
      <c r="C17" s="228"/>
      <c r="D17" s="228"/>
      <c r="E17" s="228"/>
      <c r="F17" s="228"/>
      <c r="G17" s="228"/>
      <c r="H17" s="228"/>
      <c r="I17" s="228"/>
      <c r="J17" s="228"/>
      <c r="K17" s="228"/>
      <c r="L17" s="228"/>
      <c r="M17" s="228"/>
      <c r="N17" s="1292"/>
      <c r="O17" s="1293"/>
      <c r="P17" s="194"/>
    </row>
    <row r="18" spans="1:16" s="192" customFormat="1" ht="14.25" hidden="1" customHeight="1">
      <c r="A18" s="1485"/>
      <c r="B18" s="1057" t="s">
        <v>1144</v>
      </c>
      <c r="C18" s="1058"/>
      <c r="D18" s="1058"/>
      <c r="E18" s="1058"/>
      <c r="F18" s="1058"/>
      <c r="G18" s="1058"/>
      <c r="H18" s="1058"/>
      <c r="I18" s="1058"/>
      <c r="J18" s="1058"/>
      <c r="K18" s="1058"/>
      <c r="L18" s="1058"/>
      <c r="M18" s="1058"/>
      <c r="N18" s="1292"/>
      <c r="O18" s="194"/>
      <c r="P18" s="1294"/>
    </row>
    <row r="19" spans="1:16" ht="14.25" hidden="1" customHeight="1">
      <c r="A19" s="1275"/>
      <c r="B19" s="1036"/>
      <c r="C19" s="1036"/>
      <c r="D19" s="1036"/>
      <c r="E19" s="1036"/>
      <c r="F19" s="1036"/>
      <c r="G19" s="1036"/>
      <c r="H19" s="1036"/>
      <c r="I19" s="1036"/>
      <c r="J19" s="1036"/>
      <c r="K19" s="1036"/>
      <c r="L19" s="1036"/>
      <c r="N19" s="1292"/>
      <c r="O19" s="194"/>
      <c r="P19" s="1294"/>
    </row>
    <row r="20" spans="1:16" s="192" customFormat="1" ht="14.25" hidden="1" customHeight="1">
      <c r="A20" s="1483"/>
      <c r="B20" s="400" t="s">
        <v>1145</v>
      </c>
      <c r="N20" s="1292"/>
      <c r="O20" s="194"/>
      <c r="P20" s="1294"/>
    </row>
    <row r="21" spans="1:16" s="192" customFormat="1" ht="18" hidden="1" customHeight="1">
      <c r="A21" s="1483"/>
      <c r="B21" s="722"/>
      <c r="C21" s="1059" t="e">
        <f>VLOOKUP(VLOOKUP("○",KKS!B9:C14,2,FALSE),KKS!B38:D48,3,FALSE)</f>
        <v>#N/A</v>
      </c>
      <c r="D21" s="375"/>
      <c r="E21" s="375"/>
      <c r="F21" s="375"/>
      <c r="G21" s="375"/>
      <c r="H21" s="375"/>
      <c r="I21" s="375"/>
      <c r="J21" s="375"/>
      <c r="K21" s="375"/>
      <c r="L21" s="375"/>
      <c r="N21" s="1292"/>
      <c r="O21" s="194"/>
      <c r="P21" s="194"/>
    </row>
    <row r="22" spans="1:16" s="192" customFormat="1" ht="39.75" hidden="1" customHeight="1">
      <c r="A22" s="1483"/>
      <c r="B22" s="722"/>
      <c r="C22" s="2595" t="e">
        <f>"「共通仮設費率分」自動計算値＝「共通仮設費積算対象金額」×"&amp;VLOOKUP(VLOOKUP("○",KKS!B9:C14,2,FALSE),KKS!B38:C48,2,FALSE)</f>
        <v>#N/A</v>
      </c>
      <c r="D22" s="2595"/>
      <c r="E22" s="2595"/>
      <c r="F22" s="2595"/>
      <c r="G22" s="2595"/>
      <c r="H22" s="2595"/>
      <c r="I22" s="2595"/>
      <c r="J22" s="2595"/>
      <c r="K22" s="2595"/>
      <c r="L22" s="2595"/>
      <c r="N22" s="1292"/>
      <c r="O22" s="1293"/>
      <c r="P22" s="194"/>
    </row>
    <row r="23" spans="1:16" s="192" customFormat="1" ht="25.5" hidden="1" customHeight="1">
      <c r="A23" s="1483"/>
      <c r="C23" s="2344" t="s">
        <v>281</v>
      </c>
      <c r="D23" s="2344"/>
      <c r="E23" s="2344"/>
      <c r="F23" s="2309" t="s">
        <v>1146</v>
      </c>
      <c r="G23" s="2310"/>
      <c r="H23" s="2344" t="s">
        <v>1147</v>
      </c>
      <c r="I23" s="2344"/>
      <c r="J23" s="2344"/>
    </row>
    <row r="24" spans="1:16" s="192" customFormat="1" ht="25.5" hidden="1" customHeight="1">
      <c r="A24" s="1483"/>
      <c r="C24" s="2608" t="s">
        <v>1148</v>
      </c>
      <c r="D24" s="2609"/>
      <c r="E24" s="2610"/>
      <c r="F24" s="2344" t="s">
        <v>411</v>
      </c>
      <c r="G24" s="2344"/>
      <c r="H24" s="2611" t="str">
        <f>IF(一般事項!F20="","",一般事項!F20)</f>
        <v/>
      </c>
      <c r="I24" s="2612"/>
      <c r="J24" s="2613"/>
      <c r="K24" s="1060" t="str">
        <f>IF(H24="",N24,IF(H14="参考値なし","",IF(H14="「大都市」設定なし",O24,IF(F14="","",IF(ABS(F14-H14)&gt;=10,O24,"")))))</f>
        <v>←未入力です。「一般事項」シートで「工種」を入力してください。</v>
      </c>
      <c r="N24" s="1043" t="s">
        <v>1149</v>
      </c>
      <c r="O24" s="1043" t="s">
        <v>1150</v>
      </c>
    </row>
    <row r="25" spans="1:16" s="192" customFormat="1" ht="25.5" hidden="1" customHeight="1">
      <c r="A25" s="1483"/>
      <c r="C25" s="2608" t="s">
        <v>1151</v>
      </c>
      <c r="D25" s="2609"/>
      <c r="E25" s="2610"/>
      <c r="F25" s="2344" t="s">
        <v>411</v>
      </c>
      <c r="G25" s="2344"/>
      <c r="H25" s="2611" t="str">
        <f>IF(一般事項!F19="","",一般事項!F19)</f>
        <v/>
      </c>
      <c r="I25" s="2612"/>
      <c r="J25" s="2613"/>
      <c r="K25" s="1060" t="str">
        <f>IF(H25="",N25,IF($H$14="参考値なし","",IF(H14="「大都市」設定なし",O25,IF(F14="","",IF(ABS($F$14-$H$14)&gt;=10,O25,"")))))</f>
        <v>←未入力です。「一般事項」シートで「地域特性」を入力してください。</v>
      </c>
      <c r="N25" s="1043" t="s">
        <v>1152</v>
      </c>
      <c r="O25" s="1043" t="s">
        <v>1153</v>
      </c>
    </row>
    <row r="26" spans="1:16" s="192" customFormat="1" ht="25.5" hidden="1" customHeight="1">
      <c r="A26" s="1483"/>
      <c r="B26" s="375"/>
      <c r="C26" s="2614" t="s">
        <v>1154</v>
      </c>
      <c r="D26" s="2615"/>
      <c r="E26" s="2616"/>
      <c r="F26" s="2617" t="s">
        <v>411</v>
      </c>
      <c r="G26" s="2617"/>
      <c r="H26" s="2618" t="str">
        <f>IF(一般事項!F42="","",一般事項!F42)</f>
        <v/>
      </c>
      <c r="I26" s="2619"/>
      <c r="J26" s="2620"/>
      <c r="K26" s="1060" t="str">
        <f>IF(H26="-","",IF(H26="--",P26,IF(H26="",N26,IF($H$14="参考値なし","",IF(H14="「大都市」設定なし",O26,IF(F14="","",IF(ABS($F$14-$H$14)&gt;=10,O26,"")))))))</f>
        <v>←未入力です。「一般事項」シートで除雪工事補正の「補正係数・区分」を入力してください。</v>
      </c>
      <c r="N26" s="1048" t="s">
        <v>1155</v>
      </c>
      <c r="O26" s="1048" t="s">
        <v>1156</v>
      </c>
      <c r="P26" s="1048" t="s">
        <v>1157</v>
      </c>
    </row>
    <row r="27" spans="1:16" s="192" customFormat="1" ht="25.5" hidden="1" customHeight="1">
      <c r="A27" s="1483"/>
      <c r="B27" s="1061"/>
      <c r="C27" s="2621" t="s">
        <v>1158</v>
      </c>
      <c r="D27" s="2622"/>
      <c r="E27" s="2623"/>
      <c r="F27" s="2624" t="s">
        <v>411</v>
      </c>
      <c r="G27" s="2624"/>
      <c r="H27" s="2624" t="e">
        <f>IF(AND(OR(KKS!#REF!=1,KKS!#REF!=3,KKS!#REF!=5,KKS!#REF!=6,KKS!#REF!=7,KKS!#REF!=8,KKS!#REF!=9,AND(KKS!#REF!=4,一般事項!F20&lt;&gt;"299：海岸工事(農)")),一般事項!F112=""),"-",IF(AND(OR(KKS!#REF!=2,KKS!#REF!=4),一般事項!F112=""),"",一般事項!F112))</f>
        <v>#REF!</v>
      </c>
      <c r="I27" s="2624"/>
      <c r="J27" s="2624"/>
      <c r="K27" s="1060" t="e">
        <f>IF(H27="",N27,IF(H27="-","",IF(H14="参考値なし","",IF(F14="","",IF(ABS(F14-H14)&gt;=10,O27,"")))))</f>
        <v>#REF!</v>
      </c>
      <c r="N27" s="1048" t="s">
        <v>1159</v>
      </c>
      <c r="O27" s="1048" t="s">
        <v>1160</v>
      </c>
      <c r="P27" s="375"/>
    </row>
    <row r="28" spans="1:16" s="192" customFormat="1" ht="25.5" hidden="1" customHeight="1">
      <c r="A28" s="1483"/>
      <c r="B28" s="1061"/>
      <c r="C28" s="2625" t="s">
        <v>1161</v>
      </c>
      <c r="D28" s="2622"/>
      <c r="E28" s="2623"/>
      <c r="F28" s="2624" t="s">
        <v>411</v>
      </c>
      <c r="G28" s="2624"/>
      <c r="H28" s="2626" t="e">
        <f>IF(AND(KKS!#REF!=7,KKS!#REF!="",KKS!#REF!=""),"--",IF(AND(KKS!#REF!=7,KKS!#REF!=1,KKS!#REF!=""),"",IF(AND(KKS!#REF!=7,KKS!#REF!=2,KKS!#REF!=""),"-",IF(AND(KKS!#REF!&lt;&gt;7,一般事項!F113="",一般事項!F114=""),"-",一般事項!F114))))</f>
        <v>#REF!</v>
      </c>
      <c r="I28" s="2627"/>
      <c r="J28" s="2628"/>
      <c r="K28" s="1060" t="e">
        <f>IF(H28="-","",IF(H28="--",P28,IF(H28="",N28,IF($H$11="参考値なし","",IF(F14="","",IF(ABS($F$11-$H$11)&gt;=10,O28,""))))))</f>
        <v>#REF!</v>
      </c>
      <c r="N28" s="1048" t="s">
        <v>1162</v>
      </c>
      <c r="O28" s="1048" t="s">
        <v>1163</v>
      </c>
      <c r="P28" s="1048" t="s">
        <v>1164</v>
      </c>
    </row>
    <row r="29" spans="1:16" s="192" customFormat="1" ht="25.5" hidden="1" customHeight="1">
      <c r="A29" s="1483"/>
      <c r="C29" s="2608" t="s">
        <v>1165</v>
      </c>
      <c r="D29" s="2609"/>
      <c r="E29" s="2610"/>
      <c r="F29" s="2344" t="s">
        <v>414</v>
      </c>
      <c r="G29" s="2344"/>
      <c r="H29" s="2636" t="str">
        <f>IF(工事費!J59="","",工事費!J59)</f>
        <v/>
      </c>
      <c r="I29" s="2636"/>
      <c r="J29" s="2636"/>
      <c r="K29" s="1060" t="str">
        <f>IF(H29="",N29,IF(H14="参考値なし","",IF(H14="「大都市」設定なし","",IF(F14="","",IF(ABS(F14-H14)&gt;=10,O29,"")))))</f>
        <v>←未入力です。「工事費」シートで「共通仮設費積算対象金額」を入力してください。</v>
      </c>
      <c r="N29" s="1043" t="s">
        <v>1166</v>
      </c>
      <c r="O29" s="1043" t="s">
        <v>1167</v>
      </c>
    </row>
    <row r="30" spans="1:16" s="192" customFormat="1" ht="25.5" hidden="1" customHeight="1">
      <c r="A30" s="1483"/>
      <c r="C30" s="2608" t="s">
        <v>1168</v>
      </c>
      <c r="D30" s="2609"/>
      <c r="E30" s="2610"/>
      <c r="F30" s="2344" t="s">
        <v>414</v>
      </c>
      <c r="G30" s="2344"/>
      <c r="H30" s="2636" t="str">
        <f>IF(工事費!J38="","",工事費!J38)</f>
        <v/>
      </c>
      <c r="I30" s="2636"/>
      <c r="J30" s="2636"/>
      <c r="K30" s="1060" t="str">
        <f>IF(H30="",N30,IF(H14="参考値なし","",IF(H14="「大都市」設定なし","",IF(ABS(F14-H14)&gt;=10,O30,""))))</f>
        <v>←未入力です。「工事費」シートで「共通仮設費の率分」を入力してください。</v>
      </c>
      <c r="N30" s="1043" t="s">
        <v>1169</v>
      </c>
      <c r="O30" s="1043" t="s">
        <v>1170</v>
      </c>
    </row>
    <row r="31" spans="1:16" s="192" customFormat="1" ht="8.25" hidden="1" customHeight="1">
      <c r="A31" s="1483"/>
      <c r="B31" s="722"/>
      <c r="C31" s="722"/>
      <c r="D31" s="722"/>
      <c r="E31" s="722"/>
      <c r="F31" s="722"/>
      <c r="G31" s="722"/>
      <c r="H31" s="722"/>
      <c r="I31" s="722"/>
      <c r="J31" s="722"/>
      <c r="K31" s="722"/>
      <c r="L31" s="722"/>
    </row>
    <row r="32" spans="1:16" ht="18" hidden="1" customHeight="1">
      <c r="A32" s="1275"/>
      <c r="C32" s="2629" t="s">
        <v>1745</v>
      </c>
      <c r="D32" s="2630"/>
      <c r="E32" s="2630"/>
      <c r="F32" s="2630"/>
      <c r="G32" s="2630"/>
      <c r="H32" s="2630"/>
      <c r="I32" s="2631" t="s">
        <v>1744</v>
      </c>
      <c r="J32" s="2632"/>
      <c r="K32" s="2632"/>
      <c r="L32" s="2633"/>
    </row>
    <row r="33" spans="1:14" ht="19.5" customHeight="1">
      <c r="A33" s="592"/>
      <c r="B33" s="339" t="s">
        <v>1752</v>
      </c>
      <c r="D33" s="183"/>
      <c r="E33" s="183"/>
      <c r="F33" s="183"/>
      <c r="G33" s="183"/>
      <c r="H33" s="183"/>
    </row>
    <row r="34" spans="1:14" ht="15" customHeight="1">
      <c r="B34" s="399" t="s">
        <v>692</v>
      </c>
      <c r="C34" s="404"/>
      <c r="D34" s="183"/>
      <c r="E34" s="183"/>
      <c r="F34" s="183"/>
      <c r="G34" s="183"/>
      <c r="H34" s="183"/>
    </row>
    <row r="35" spans="1:14" ht="4.5" customHeight="1">
      <c r="B35" s="339"/>
      <c r="D35" s="183"/>
      <c r="E35" s="183"/>
      <c r="F35" s="183"/>
      <c r="G35" s="183"/>
      <c r="H35" s="183"/>
    </row>
    <row r="36" spans="1:14" s="277" customFormat="1" ht="20.100000000000001" customHeight="1">
      <c r="B36" s="340"/>
      <c r="C36" s="2587" t="s">
        <v>759</v>
      </c>
      <c r="D36" s="2587"/>
      <c r="E36" s="1945"/>
      <c r="F36" s="1945"/>
      <c r="G36" s="1834" t="s">
        <v>760</v>
      </c>
      <c r="H36" s="184"/>
      <c r="I36" s="403" t="s">
        <v>45</v>
      </c>
      <c r="J36" s="184"/>
      <c r="K36" s="341"/>
      <c r="L36" s="185"/>
      <c r="M36" s="185"/>
      <c r="N36" s="185"/>
    </row>
    <row r="37" spans="1:14" s="277" customFormat="1" ht="11.25" customHeight="1">
      <c r="B37" s="343"/>
      <c r="C37" s="1946"/>
      <c r="D37" s="1946"/>
      <c r="E37" s="185"/>
      <c r="F37" s="185"/>
      <c r="G37" s="344"/>
      <c r="H37" s="185"/>
      <c r="I37" s="1822"/>
      <c r="J37" s="185"/>
      <c r="K37" s="1835"/>
      <c r="L37" s="185"/>
      <c r="M37" s="185"/>
      <c r="N37" s="185"/>
    </row>
    <row r="38" spans="1:14" s="277" customFormat="1" ht="21.75" customHeight="1">
      <c r="B38" s="343"/>
      <c r="C38" s="2585" t="s">
        <v>632</v>
      </c>
      <c r="D38" s="2586"/>
      <c r="E38" s="430" t="s">
        <v>682</v>
      </c>
      <c r="F38" s="185"/>
      <c r="G38" s="342">
        <f>工事情報!B1</f>
        <v>21</v>
      </c>
      <c r="H38" s="185" t="s">
        <v>204</v>
      </c>
      <c r="I38" s="342">
        <f>工事情報!D1</f>
        <v>0</v>
      </c>
      <c r="J38" s="185" t="s">
        <v>204</v>
      </c>
      <c r="K38" s="613" t="str">
        <f>IF(G38=0,"","工事情報シートに未入力があります。")</f>
        <v>工事情報シートに未入力があります。</v>
      </c>
      <c r="M38" s="185"/>
      <c r="N38" s="185"/>
    </row>
    <row r="39" spans="1:14" s="277" customFormat="1" ht="21.75" customHeight="1">
      <c r="B39" s="343"/>
      <c r="C39" s="344"/>
      <c r="D39" s="345"/>
      <c r="E39" s="185"/>
      <c r="F39" s="185"/>
      <c r="G39" s="185"/>
      <c r="H39" s="185"/>
      <c r="I39" s="185"/>
      <c r="J39" s="185"/>
      <c r="K39" s="613" t="str">
        <f>IF(I38=0,"","工事情報シートにエラーがあります。")</f>
        <v/>
      </c>
      <c r="M39" s="185"/>
      <c r="N39" s="185"/>
    </row>
    <row r="40" spans="1:14" s="277" customFormat="1" ht="21.75" customHeight="1">
      <c r="B40" s="343"/>
      <c r="C40" s="2585" t="s">
        <v>205</v>
      </c>
      <c r="D40" s="2586"/>
      <c r="E40" s="430" t="s">
        <v>683</v>
      </c>
      <c r="F40" s="185"/>
      <c r="G40" s="634">
        <f>一般事項!B1</f>
        <v>26</v>
      </c>
      <c r="H40" s="611" t="s">
        <v>204</v>
      </c>
      <c r="I40" s="634">
        <f>一般事項!D1</f>
        <v>0</v>
      </c>
      <c r="J40" s="185" t="s">
        <v>204</v>
      </c>
      <c r="K40" s="613" t="str">
        <f>IF(G40=0,"","一般事項シートに未入力があります。")</f>
        <v>一般事項シートに未入力があります。</v>
      </c>
      <c r="M40" s="185"/>
      <c r="N40" s="185"/>
    </row>
    <row r="41" spans="1:14" s="277" customFormat="1" ht="21.75" customHeight="1">
      <c r="B41" s="343"/>
      <c r="C41" s="344"/>
      <c r="D41" s="185"/>
      <c r="E41" s="185"/>
      <c r="F41" s="185"/>
      <c r="G41" s="611"/>
      <c r="H41" s="611"/>
      <c r="I41" s="611"/>
      <c r="J41" s="185"/>
      <c r="K41" s="613" t="str">
        <f>IF(I40=0,"","一般事項シートにエラーがあります。")</f>
        <v/>
      </c>
      <c r="M41" s="185"/>
      <c r="N41" s="185"/>
    </row>
    <row r="42" spans="1:14" s="277" customFormat="1" ht="21.75" customHeight="1">
      <c r="B42" s="343"/>
      <c r="C42" s="2585" t="s">
        <v>206</v>
      </c>
      <c r="D42" s="2586"/>
      <c r="E42" s="430" t="s">
        <v>683</v>
      </c>
      <c r="F42" s="185"/>
      <c r="G42" s="634">
        <f>工事費!B1</f>
        <v>76</v>
      </c>
      <c r="H42" s="611" t="s">
        <v>204</v>
      </c>
      <c r="I42" s="634">
        <f>工事費!D1</f>
        <v>0</v>
      </c>
      <c r="J42" s="185" t="s">
        <v>204</v>
      </c>
      <c r="K42" s="613" t="str">
        <f>IF(G42=0,"","工事費シートに未入力があります。")</f>
        <v>工事費シートに未入力があります。</v>
      </c>
      <c r="M42" s="185"/>
      <c r="N42" s="185"/>
    </row>
    <row r="43" spans="1:14" s="277" customFormat="1" ht="21.75" customHeight="1">
      <c r="B43" s="343"/>
      <c r="C43" s="344"/>
      <c r="D43" s="185"/>
      <c r="E43" s="185"/>
      <c r="F43" s="185"/>
      <c r="G43" s="611"/>
      <c r="H43" s="611"/>
      <c r="I43" s="611"/>
      <c r="J43" s="185"/>
      <c r="K43" s="613" t="str">
        <f>IF(I42=0,"","工事費シートにエラーがあります。")</f>
        <v/>
      </c>
      <c r="M43" s="185"/>
      <c r="N43" s="185"/>
    </row>
    <row r="44" spans="1:14" s="277" customFormat="1" ht="21.75" customHeight="1">
      <c r="B44" s="343"/>
      <c r="C44" s="2585" t="s">
        <v>207</v>
      </c>
      <c r="D44" s="2586"/>
      <c r="E44" s="430" t="s">
        <v>683</v>
      </c>
      <c r="F44" s="185"/>
      <c r="G44" s="634">
        <f>工期!B1</f>
        <v>18</v>
      </c>
      <c r="H44" s="611" t="s">
        <v>204</v>
      </c>
      <c r="I44" s="634">
        <f>工期!D1</f>
        <v>0</v>
      </c>
      <c r="J44" s="185" t="s">
        <v>204</v>
      </c>
      <c r="K44" s="613" t="str">
        <f>IF(G44=0,"","工期シートに未入力があります。")</f>
        <v>工期シートに未入力があります。</v>
      </c>
      <c r="M44" s="185"/>
      <c r="N44" s="185"/>
    </row>
    <row r="45" spans="1:14" s="277" customFormat="1" ht="21.75" customHeight="1">
      <c r="B45" s="343"/>
      <c r="C45" s="344"/>
      <c r="D45" s="185"/>
      <c r="E45" s="185"/>
      <c r="F45" s="185"/>
      <c r="G45" s="611"/>
      <c r="H45" s="611"/>
      <c r="I45" s="611"/>
      <c r="J45" s="185"/>
      <c r="K45" s="613" t="str">
        <f>IF(I44=0,"","工期シートにエラーがあります。")</f>
        <v/>
      </c>
      <c r="M45" s="185"/>
      <c r="N45" s="185"/>
    </row>
    <row r="46" spans="1:14" s="277" customFormat="1" ht="21.75" hidden="1" customHeight="1">
      <c r="B46" s="343"/>
      <c r="C46" s="2585" t="s">
        <v>822</v>
      </c>
      <c r="D46" s="2586"/>
      <c r="E46" s="430" t="s">
        <v>683</v>
      </c>
      <c r="F46" s="185"/>
      <c r="G46" s="634">
        <f>施工分散!B1</f>
        <v>0</v>
      </c>
      <c r="H46" s="611" t="s">
        <v>204</v>
      </c>
      <c r="I46" s="634">
        <f>施工分散!D1</f>
        <v>0</v>
      </c>
      <c r="J46" s="185" t="s">
        <v>204</v>
      </c>
      <c r="K46" s="613" t="str">
        <f>IF(G46=0,"","施工分散シートに未入力があります。")</f>
        <v/>
      </c>
    </row>
    <row r="47" spans="1:14" s="277" customFormat="1" ht="21.75" hidden="1" customHeight="1">
      <c r="B47" s="343"/>
      <c r="C47" s="344"/>
      <c r="D47" s="345"/>
      <c r="E47" s="185"/>
      <c r="F47" s="185"/>
      <c r="G47" s="635"/>
      <c r="H47" s="611"/>
      <c r="I47" s="635"/>
      <c r="J47" s="185"/>
      <c r="K47" s="613" t="str">
        <f>IF(I46=0,"","施工分散シートにエラーがあります。")</f>
        <v/>
      </c>
    </row>
    <row r="48" spans="1:14" s="277" customFormat="1" ht="21.75" customHeight="1">
      <c r="B48" s="343"/>
      <c r="C48" s="2585" t="s">
        <v>208</v>
      </c>
      <c r="D48" s="2586"/>
      <c r="E48" s="430" t="s">
        <v>682</v>
      </c>
      <c r="F48" s="185"/>
      <c r="G48" s="634">
        <f>施工環境!B1</f>
        <v>12</v>
      </c>
      <c r="H48" s="611" t="s">
        <v>204</v>
      </c>
      <c r="I48" s="634">
        <f>施工環境!D1</f>
        <v>0</v>
      </c>
      <c r="J48" s="185" t="s">
        <v>204</v>
      </c>
      <c r="K48" s="613" t="str">
        <f>IF(G48=0,"","施工環境シートに未入力があります。")</f>
        <v>施工環境シートに未入力があります。</v>
      </c>
    </row>
    <row r="49" spans="1:13" s="277" customFormat="1" ht="21.75" customHeight="1">
      <c r="B49" s="343"/>
      <c r="C49" s="344"/>
      <c r="D49" s="345"/>
      <c r="E49" s="185"/>
      <c r="F49" s="185"/>
      <c r="G49" s="635"/>
      <c r="H49" s="611"/>
      <c r="I49" s="635"/>
      <c r="J49" s="185"/>
      <c r="K49" s="613" t="str">
        <f>IF(I48=0,"","施工環境シートにエラーがあります。")</f>
        <v/>
      </c>
    </row>
    <row r="50" spans="1:13" s="277" customFormat="1" ht="21.75" customHeight="1">
      <c r="B50" s="343"/>
      <c r="C50" s="2585" t="s">
        <v>102</v>
      </c>
      <c r="D50" s="2586"/>
      <c r="E50" s="430" t="s">
        <v>683</v>
      </c>
      <c r="F50" s="185"/>
      <c r="G50" s="634">
        <f>二次製品!B1</f>
        <v>0</v>
      </c>
      <c r="H50" s="611" t="s">
        <v>204</v>
      </c>
      <c r="I50" s="634">
        <f>二次製品!D1</f>
        <v>0</v>
      </c>
      <c r="J50" s="185" t="s">
        <v>204</v>
      </c>
      <c r="K50" s="613" t="str">
        <f>IF(G50=0,"","二次製品シートに未入力があります。")</f>
        <v/>
      </c>
    </row>
    <row r="51" spans="1:13" s="277" customFormat="1" ht="21.75" hidden="1" customHeight="1">
      <c r="B51" s="343"/>
      <c r="C51" s="344"/>
      <c r="D51" s="345"/>
      <c r="E51" s="185"/>
      <c r="F51" s="185"/>
      <c r="G51" s="635"/>
      <c r="H51" s="611"/>
      <c r="I51" s="635"/>
      <c r="J51" s="185"/>
      <c r="K51" s="613" t="str">
        <f>IF(I50=0,"","二次製品シートにエラーがあります。")</f>
        <v/>
      </c>
    </row>
    <row r="52" spans="1:13" ht="21.75" hidden="1" customHeight="1">
      <c r="A52" s="277"/>
      <c r="B52" s="343"/>
      <c r="C52" s="2585" t="s">
        <v>821</v>
      </c>
      <c r="D52" s="2586"/>
      <c r="E52" s="430" t="s">
        <v>851</v>
      </c>
      <c r="F52" s="185"/>
      <c r="G52" s="634"/>
      <c r="H52" s="611" t="s">
        <v>204</v>
      </c>
      <c r="I52" s="634"/>
      <c r="J52" s="611" t="s">
        <v>204</v>
      </c>
      <c r="K52" s="613" t="str">
        <f>IF(G52=0,"","準備費シートに未入力があります。")</f>
        <v/>
      </c>
      <c r="M52" s="317"/>
    </row>
    <row r="53" spans="1:13" ht="21.75" hidden="1" customHeight="1">
      <c r="A53" s="743"/>
      <c r="B53" s="744"/>
      <c r="C53" s="611"/>
      <c r="D53" s="611"/>
      <c r="E53" s="611"/>
      <c r="F53" s="611"/>
      <c r="G53" s="611"/>
      <c r="H53" s="611"/>
      <c r="I53" s="611"/>
      <c r="J53" s="611"/>
      <c r="K53" s="613" t="str">
        <f>IF(I52=0,"","準備費シートにエラーがあります。")</f>
        <v/>
      </c>
      <c r="L53" s="277"/>
    </row>
    <row r="54" spans="1:13" s="335" customFormat="1" ht="21.75" hidden="1" customHeight="1">
      <c r="A54" s="592"/>
      <c r="B54" s="745"/>
      <c r="C54" s="2583" t="s">
        <v>716</v>
      </c>
      <c r="D54" s="2584"/>
      <c r="E54" s="430" t="s">
        <v>682</v>
      </c>
      <c r="F54" s="611"/>
      <c r="G54" s="634"/>
      <c r="H54" s="611" t="s">
        <v>204</v>
      </c>
      <c r="I54" s="634"/>
      <c r="J54" s="611" t="s">
        <v>204</v>
      </c>
      <c r="K54" s="614" t="str">
        <f>IF(G54=0,"","積算方式シートに未入力があります。")</f>
        <v/>
      </c>
      <c r="L54" s="152"/>
    </row>
    <row r="55" spans="1:13" s="335" customFormat="1" ht="21.75" hidden="1" customHeight="1">
      <c r="A55" s="592"/>
      <c r="B55" s="744"/>
      <c r="C55" s="611"/>
      <c r="D55" s="611"/>
      <c r="E55" s="611"/>
      <c r="F55" s="611"/>
      <c r="G55" s="611"/>
      <c r="H55" s="611"/>
      <c r="I55" s="611"/>
      <c r="J55" s="611"/>
      <c r="K55" s="613"/>
      <c r="L55" s="152"/>
    </row>
    <row r="56" spans="1:13" s="335" customFormat="1" ht="21.75" hidden="1" customHeight="1">
      <c r="A56" s="592"/>
      <c r="B56" s="745"/>
      <c r="C56" s="2583" t="s">
        <v>1882</v>
      </c>
      <c r="D56" s="2584"/>
      <c r="E56" s="430" t="s">
        <v>682</v>
      </c>
      <c r="F56" s="611"/>
      <c r="G56" s="634">
        <f>ICT!B1</f>
        <v>0</v>
      </c>
      <c r="H56" s="611" t="s">
        <v>204</v>
      </c>
      <c r="I56" s="634">
        <f>ICT!D1</f>
        <v>0</v>
      </c>
      <c r="J56" s="611" t="s">
        <v>204</v>
      </c>
      <c r="K56" s="613" t="str">
        <f>IF(G56=0,"","ＩＣＴ土工シートに未入力があります。")</f>
        <v/>
      </c>
      <c r="L56" s="152"/>
    </row>
    <row r="57" spans="1:13" s="335" customFormat="1" ht="21.75" customHeight="1">
      <c r="A57" s="592"/>
      <c r="B57" s="745"/>
      <c r="C57" s="853"/>
      <c r="D57" s="853"/>
      <c r="E57" s="344"/>
      <c r="F57" s="611"/>
      <c r="G57" s="611"/>
      <c r="H57" s="611"/>
      <c r="I57" s="611"/>
      <c r="J57" s="611"/>
      <c r="K57" s="614"/>
      <c r="L57" s="152"/>
    </row>
    <row r="58" spans="1:13" s="335" customFormat="1" ht="21.75" customHeight="1">
      <c r="A58" s="592"/>
      <c r="B58" s="745"/>
      <c r="C58" s="2583" t="s">
        <v>2373</v>
      </c>
      <c r="D58" s="2584"/>
      <c r="E58" s="430" t="s">
        <v>682</v>
      </c>
      <c r="F58" s="611"/>
      <c r="G58" s="634">
        <f>感染対策!B1</f>
        <v>5</v>
      </c>
      <c r="H58" s="611" t="s">
        <v>204</v>
      </c>
      <c r="I58" s="634">
        <f>感染対策!D1</f>
        <v>0</v>
      </c>
      <c r="J58" s="611" t="s">
        <v>204</v>
      </c>
      <c r="K58" s="613" t="str">
        <f>IF(G58=0,"","感染対策シートに未入力があります。")</f>
        <v>感染対策シートに未入力があります。</v>
      </c>
      <c r="L58" s="152"/>
    </row>
    <row r="59" spans="1:13" s="335" customFormat="1" ht="21.75" customHeight="1">
      <c r="A59" s="592"/>
      <c r="B59" s="745"/>
      <c r="C59" s="853"/>
      <c r="D59" s="853"/>
      <c r="E59" s="344"/>
      <c r="F59" s="611"/>
      <c r="G59" s="611"/>
      <c r="H59" s="611"/>
      <c r="I59" s="611"/>
      <c r="J59" s="611"/>
      <c r="K59" s="614"/>
      <c r="L59" s="152"/>
    </row>
    <row r="60" spans="1:13" s="335" customFormat="1" ht="21.75" customHeight="1">
      <c r="A60" s="592"/>
      <c r="B60" s="745"/>
      <c r="C60" s="2634" t="s">
        <v>2157</v>
      </c>
      <c r="D60" s="2635"/>
      <c r="E60" s="430" t="s">
        <v>682</v>
      </c>
      <c r="F60" s="611"/>
      <c r="G60" s="634">
        <f>COUNTIF(元請調査票データ!Q:Q,"※")</f>
        <v>4</v>
      </c>
      <c r="H60" s="611" t="s">
        <v>204</v>
      </c>
      <c r="I60" s="611"/>
      <c r="J60" s="611"/>
      <c r="K60" s="614" t="str">
        <f>IF(G60=0,"","元請調査票データシートに未入力があります。")</f>
        <v>元請調査票データシートに未入力があります。</v>
      </c>
      <c r="L60" s="152"/>
    </row>
    <row r="61" spans="1:13" s="335" customFormat="1" ht="10.5" customHeight="1">
      <c r="A61" s="592"/>
      <c r="B61" s="745"/>
      <c r="C61" s="853"/>
      <c r="D61" s="853"/>
      <c r="E61" s="344"/>
      <c r="F61" s="611"/>
      <c r="G61" s="611"/>
      <c r="H61" s="611"/>
      <c r="I61" s="611"/>
      <c r="J61" s="611"/>
      <c r="K61" s="614"/>
      <c r="L61" s="152"/>
    </row>
    <row r="62" spans="1:13" s="335" customFormat="1" ht="7.5" customHeight="1">
      <c r="A62" s="592"/>
      <c r="B62" s="746"/>
      <c r="C62" s="747"/>
      <c r="D62" s="747"/>
      <c r="E62" s="747"/>
      <c r="F62" s="747"/>
      <c r="G62" s="747"/>
      <c r="H62" s="747"/>
      <c r="I62" s="747"/>
      <c r="J62" s="747"/>
      <c r="K62" s="748"/>
      <c r="L62" s="152"/>
    </row>
    <row r="63" spans="1:13" s="335" customFormat="1" ht="6" customHeight="1">
      <c r="A63" s="347"/>
      <c r="B63" s="347"/>
      <c r="C63" s="346"/>
      <c r="D63" s="347"/>
      <c r="E63" s="347"/>
      <c r="F63" s="347"/>
      <c r="G63" s="347"/>
      <c r="H63" s="347"/>
      <c r="I63" s="347"/>
      <c r="M63" s="348"/>
    </row>
    <row r="65" spans="2:7">
      <c r="B65" s="338"/>
    </row>
    <row r="68" spans="2:7" ht="14.25">
      <c r="G68" s="611"/>
    </row>
  </sheetData>
  <sheetProtection algorithmName="SHA-512" hashValue="98MvTYy9g/lw5O20Y+Cz2XZCeLb3IjsU/oVAc6glFX2PozKyUWfdT+UNyQxuMbNK8E6VGuR2EqZBqNIWNbyvhg==" saltValue="siU37ZKq3CVAiLH7J0Tdsg==" spinCount="100000" sheet="1" objects="1" scenarios="1"/>
  <mergeCells count="51">
    <mergeCell ref="C32:H32"/>
    <mergeCell ref="I32:L32"/>
    <mergeCell ref="C60:D60"/>
    <mergeCell ref="C29:E29"/>
    <mergeCell ref="F29:G29"/>
    <mergeCell ref="H29:J29"/>
    <mergeCell ref="C30:E30"/>
    <mergeCell ref="F30:G30"/>
    <mergeCell ref="H30:J30"/>
    <mergeCell ref="C58:D58"/>
    <mergeCell ref="C27:E27"/>
    <mergeCell ref="F27:G27"/>
    <mergeCell ref="H27:J27"/>
    <mergeCell ref="C28:E28"/>
    <mergeCell ref="F28:G28"/>
    <mergeCell ref="H28:J28"/>
    <mergeCell ref="C25:E25"/>
    <mergeCell ref="F25:G25"/>
    <mergeCell ref="H25:J25"/>
    <mergeCell ref="C26:E26"/>
    <mergeCell ref="F26:G26"/>
    <mergeCell ref="H26:J26"/>
    <mergeCell ref="C23:E23"/>
    <mergeCell ref="F23:G23"/>
    <mergeCell ref="H23:J23"/>
    <mergeCell ref="C24:E24"/>
    <mergeCell ref="F24:G24"/>
    <mergeCell ref="H24:J24"/>
    <mergeCell ref="K6:L7"/>
    <mergeCell ref="B12:E12"/>
    <mergeCell ref="F12:G12"/>
    <mergeCell ref="H12:I12"/>
    <mergeCell ref="B13:E13"/>
    <mergeCell ref="F13:G13"/>
    <mergeCell ref="H13:I13"/>
    <mergeCell ref="E3:J3"/>
    <mergeCell ref="C56:D56"/>
    <mergeCell ref="C54:D54"/>
    <mergeCell ref="C48:D48"/>
    <mergeCell ref="C52:D52"/>
    <mergeCell ref="C36:D36"/>
    <mergeCell ref="C38:D38"/>
    <mergeCell ref="C40:D40"/>
    <mergeCell ref="C42:D42"/>
    <mergeCell ref="C50:D50"/>
    <mergeCell ref="C44:D44"/>
    <mergeCell ref="C46:D46"/>
    <mergeCell ref="B14:E14"/>
    <mergeCell ref="F14:G14"/>
    <mergeCell ref="H14:I14"/>
    <mergeCell ref="C22:L22"/>
  </mergeCells>
  <phoneticPr fontId="5"/>
  <conditionalFormatting sqref="J13:J14">
    <cfRule type="cellIs" dxfId="10" priority="1" stopIfTrue="1" operator="equal">
      <formula>"エラー"</formula>
    </cfRule>
  </conditionalFormatting>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rowBreaks count="1" manualBreakCount="1">
    <brk id="69" max="11" man="1"/>
  </rowBreaks>
  <colBreaks count="1" manualBreakCount="1">
    <brk id="12" max="5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B1:Q227"/>
  <sheetViews>
    <sheetView showGridLines="0" workbookViewId="0">
      <pane ySplit="13" topLeftCell="A14" activePane="bottomLeft" state="frozen"/>
      <selection pane="bottomLeft" activeCell="K130" sqref="K130"/>
    </sheetView>
  </sheetViews>
  <sheetFormatPr defaultRowHeight="13.5"/>
  <cols>
    <col min="1" max="1" width="5.25" customWidth="1"/>
    <col min="2" max="2" width="3.125" bestFit="1" customWidth="1"/>
    <col min="3" max="3" width="3.875" customWidth="1"/>
    <col min="4" max="4" width="4.125" customWidth="1"/>
    <col min="5" max="5" width="4.75" customWidth="1"/>
    <col min="6" max="6" width="6.25" customWidth="1"/>
    <col min="7" max="7" width="24.125" bestFit="1" customWidth="1"/>
    <col min="8" max="8" width="17.5" customWidth="1"/>
    <col min="12" max="13" width="9" customWidth="1"/>
    <col min="17" max="17" width="9" style="2004" hidden="1" customWidth="1"/>
  </cols>
  <sheetData>
    <row r="1" spans="2:17" hidden="1">
      <c r="L1" s="2002"/>
      <c r="M1" s="2002"/>
      <c r="N1" s="2002"/>
      <c r="O1" s="2002"/>
      <c r="P1" s="2002"/>
      <c r="Q1" s="2003"/>
    </row>
    <row r="2" spans="2:17" ht="6" customHeight="1"/>
    <row r="3" spans="2:17">
      <c r="B3" s="2637" t="s">
        <v>5643</v>
      </c>
      <c r="C3" s="2638"/>
      <c r="D3" s="2638"/>
      <c r="E3" s="2638"/>
      <c r="F3" s="2638"/>
      <c r="G3" s="2638"/>
      <c r="H3" s="2638"/>
    </row>
    <row r="4" spans="2:17">
      <c r="B4" s="2637"/>
      <c r="C4" s="2638"/>
      <c r="D4" s="2638"/>
      <c r="E4" s="2638"/>
      <c r="F4" s="2638"/>
      <c r="G4" s="2638"/>
      <c r="H4" s="2638"/>
    </row>
    <row r="5" spans="2:17">
      <c r="B5" s="2638"/>
      <c r="C5" s="2638"/>
      <c r="D5" s="2638"/>
      <c r="E5" s="2638"/>
      <c r="F5" s="2638"/>
      <c r="G5" s="2638"/>
      <c r="H5" s="2638"/>
    </row>
    <row r="6" spans="2:17">
      <c r="B6" s="2638"/>
      <c r="C6" s="2638"/>
      <c r="D6" s="2638"/>
      <c r="E6" s="2638"/>
      <c r="F6" s="2638"/>
      <c r="G6" s="2638"/>
      <c r="H6" s="2638"/>
    </row>
    <row r="7" spans="2:17" ht="14.25" thickBot="1">
      <c r="B7" s="2639"/>
      <c r="C7" s="2639"/>
      <c r="D7" s="2639"/>
      <c r="E7" s="2639"/>
      <c r="F7" s="2639"/>
      <c r="G7" s="2639"/>
      <c r="H7" s="2639"/>
    </row>
    <row r="8" spans="2:17" ht="14.25" customHeight="1" thickTop="1">
      <c r="B8" s="1958" t="s">
        <v>2196</v>
      </c>
      <c r="C8" s="1959"/>
      <c r="D8" s="1960"/>
      <c r="E8" s="2029"/>
      <c r="F8" s="2030"/>
      <c r="G8" s="1967"/>
      <c r="H8" s="1969"/>
      <c r="Q8" s="2005" t="str">
        <f>IF($E8="","※","")</f>
        <v>※</v>
      </c>
    </row>
    <row r="9" spans="2:17" ht="13.5" customHeight="1">
      <c r="B9" s="1961" t="s">
        <v>2197</v>
      </c>
      <c r="C9" s="1962"/>
      <c r="D9" s="1963"/>
      <c r="E9" s="2028"/>
      <c r="F9" s="1968"/>
      <c r="G9" s="1968"/>
      <c r="H9" s="1970"/>
      <c r="Q9" s="2005" t="str">
        <f>IF($E9="","※","")</f>
        <v>※</v>
      </c>
    </row>
    <row r="10" spans="2:17">
      <c r="B10" s="1964" t="s">
        <v>2198</v>
      </c>
      <c r="C10" s="1965"/>
      <c r="D10" s="1965"/>
      <c r="E10" s="1965"/>
      <c r="F10" s="1965"/>
      <c r="G10" s="1966"/>
      <c r="H10" s="1838" t="s">
        <v>2199</v>
      </c>
    </row>
    <row r="11" spans="2:17">
      <c r="B11" s="1964"/>
      <c r="C11" s="1965"/>
      <c r="D11" s="1965"/>
      <c r="E11" s="1965"/>
      <c r="F11" s="1965"/>
      <c r="G11" s="1966"/>
      <c r="H11" s="1839" t="s">
        <v>2200</v>
      </c>
    </row>
    <row r="12" spans="2:17">
      <c r="B12" s="1949" t="s">
        <v>2201</v>
      </c>
      <c r="C12" s="1950"/>
      <c r="D12" s="1950"/>
      <c r="E12" s="1950"/>
      <c r="F12" s="1950"/>
      <c r="G12" s="1950"/>
      <c r="H12" s="1840">
        <v>0</v>
      </c>
      <c r="Q12" s="2005" t="str">
        <f>IF($H12="","※","")</f>
        <v/>
      </c>
    </row>
    <row r="13" spans="2:17" ht="14.25" thickBot="1">
      <c r="B13" s="1951" t="s">
        <v>2202</v>
      </c>
      <c r="C13" s="1952"/>
      <c r="D13" s="1952"/>
      <c r="E13" s="1952"/>
      <c r="F13" s="1952"/>
      <c r="G13" s="1952"/>
      <c r="H13" s="1841">
        <v>0</v>
      </c>
      <c r="Q13" s="2005" t="str">
        <f t="shared" ref="Q13:Q76" si="0">IF($H13="","※","")</f>
        <v/>
      </c>
    </row>
    <row r="14" spans="2:17" ht="14.25" thickTop="1">
      <c r="B14" s="1842" t="s">
        <v>371</v>
      </c>
      <c r="C14" s="1843" t="s">
        <v>2158</v>
      </c>
      <c r="D14" s="1843"/>
      <c r="E14" s="1844"/>
      <c r="F14" s="1844"/>
      <c r="G14" s="1845"/>
      <c r="H14" s="1846">
        <v>0</v>
      </c>
      <c r="Q14" s="2005" t="str">
        <f t="shared" si="0"/>
        <v/>
      </c>
    </row>
    <row r="15" spans="2:17">
      <c r="B15" s="1847"/>
      <c r="C15" s="1848" t="s">
        <v>2159</v>
      </c>
      <c r="D15" s="1849" t="s">
        <v>542</v>
      </c>
      <c r="E15" s="1850"/>
      <c r="F15" s="1850"/>
      <c r="G15" s="1851"/>
      <c r="H15" s="1852">
        <v>0</v>
      </c>
      <c r="Q15" s="2005" t="str">
        <f t="shared" si="0"/>
        <v/>
      </c>
    </row>
    <row r="16" spans="2:17">
      <c r="B16" s="1847"/>
      <c r="C16" s="1853" t="s">
        <v>693</v>
      </c>
      <c r="D16" s="1849" t="s">
        <v>2203</v>
      </c>
      <c r="E16" s="1850"/>
      <c r="F16" s="1850"/>
      <c r="G16" s="1851"/>
      <c r="H16" s="1852">
        <v>0</v>
      </c>
      <c r="Q16" s="2005" t="str">
        <f t="shared" si="0"/>
        <v/>
      </c>
    </row>
    <row r="17" spans="2:17">
      <c r="B17" s="1847"/>
      <c r="C17" s="1854"/>
      <c r="D17" s="1855" t="s">
        <v>2103</v>
      </c>
      <c r="E17" s="1856" t="s">
        <v>2204</v>
      </c>
      <c r="F17" s="1856"/>
      <c r="G17" s="1857"/>
      <c r="H17" s="1858">
        <v>0</v>
      </c>
      <c r="Q17" s="2005" t="str">
        <f t="shared" si="0"/>
        <v/>
      </c>
    </row>
    <row r="18" spans="2:17">
      <c r="B18" s="1847"/>
      <c r="C18" s="1854"/>
      <c r="D18" s="1859" t="s">
        <v>544</v>
      </c>
      <c r="E18" s="1860" t="s">
        <v>2205</v>
      </c>
      <c r="F18" s="1860"/>
      <c r="G18" s="1861"/>
      <c r="H18" s="1862">
        <v>0</v>
      </c>
      <c r="Q18" s="2005" t="str">
        <f t="shared" si="0"/>
        <v/>
      </c>
    </row>
    <row r="19" spans="2:17">
      <c r="B19" s="1847"/>
      <c r="C19" s="1863"/>
      <c r="D19" s="1863" t="s">
        <v>2109</v>
      </c>
      <c r="E19" s="1864" t="s">
        <v>2206</v>
      </c>
      <c r="F19" s="1865"/>
      <c r="G19" s="436"/>
      <c r="H19" s="1866">
        <v>0</v>
      </c>
      <c r="Q19" s="2005" t="str">
        <f t="shared" si="0"/>
        <v/>
      </c>
    </row>
    <row r="20" spans="2:17">
      <c r="B20" s="1847"/>
      <c r="C20" s="1848" t="s">
        <v>2160</v>
      </c>
      <c r="D20" s="1849" t="s">
        <v>2104</v>
      </c>
      <c r="E20" s="1850"/>
      <c r="F20" s="1850"/>
      <c r="G20" s="1851"/>
      <c r="H20" s="1852">
        <v>0</v>
      </c>
      <c r="Q20" s="2005" t="str">
        <f t="shared" si="0"/>
        <v/>
      </c>
    </row>
    <row r="21" spans="2:17">
      <c r="B21" s="1847"/>
      <c r="C21" s="1848" t="s">
        <v>2161</v>
      </c>
      <c r="D21" s="1849" t="s">
        <v>2207</v>
      </c>
      <c r="E21" s="1850"/>
      <c r="F21" s="1850"/>
      <c r="G21" s="1851"/>
      <c r="H21" s="1852">
        <v>0</v>
      </c>
      <c r="Q21" s="2005" t="str">
        <f t="shared" si="0"/>
        <v/>
      </c>
    </row>
    <row r="22" spans="2:17">
      <c r="B22" s="1847"/>
      <c r="C22" s="1853" t="s">
        <v>694</v>
      </c>
      <c r="D22" s="1849" t="s">
        <v>2162</v>
      </c>
      <c r="E22" s="1850"/>
      <c r="F22" s="1850"/>
      <c r="G22" s="1851"/>
      <c r="H22" s="1852">
        <v>0</v>
      </c>
      <c r="Q22" s="2005" t="str">
        <f t="shared" si="0"/>
        <v/>
      </c>
    </row>
    <row r="23" spans="2:17">
      <c r="B23" s="1847"/>
      <c r="C23" s="1867"/>
      <c r="D23" s="1855" t="s">
        <v>2103</v>
      </c>
      <c r="E23" s="1856" t="s">
        <v>2105</v>
      </c>
      <c r="F23" s="1856"/>
      <c r="G23" s="1857"/>
      <c r="H23" s="1858">
        <v>0</v>
      </c>
      <c r="Q23" s="2005" t="str">
        <f t="shared" si="0"/>
        <v/>
      </c>
    </row>
    <row r="24" spans="2:17">
      <c r="B24" s="1847"/>
      <c r="C24" s="1863"/>
      <c r="D24" s="1868" t="s">
        <v>544</v>
      </c>
      <c r="E24" s="1869" t="s">
        <v>2106</v>
      </c>
      <c r="F24" s="1869"/>
      <c r="G24" s="1870"/>
      <c r="H24" s="1871">
        <v>0</v>
      </c>
      <c r="Q24" s="2005" t="str">
        <f t="shared" si="0"/>
        <v/>
      </c>
    </row>
    <row r="25" spans="2:17">
      <c r="B25" s="1847"/>
      <c r="C25" s="1853" t="s">
        <v>2163</v>
      </c>
      <c r="D25" s="1850" t="s">
        <v>2164</v>
      </c>
      <c r="E25" s="1850"/>
      <c r="F25" s="1850"/>
      <c r="G25" s="1851"/>
      <c r="H25" s="1872">
        <v>0</v>
      </c>
      <c r="Q25" s="2005" t="str">
        <f t="shared" si="0"/>
        <v/>
      </c>
    </row>
    <row r="26" spans="2:17">
      <c r="B26" s="1847"/>
      <c r="C26" s="1854"/>
      <c r="D26" s="1873" t="s">
        <v>2103</v>
      </c>
      <c r="E26" s="1850" t="s">
        <v>2208</v>
      </c>
      <c r="F26" s="1850"/>
      <c r="G26" s="1851"/>
      <c r="H26" s="1858">
        <v>0</v>
      </c>
      <c r="Q26" s="2005" t="str">
        <f t="shared" si="0"/>
        <v/>
      </c>
    </row>
    <row r="27" spans="2:17">
      <c r="B27" s="1847"/>
      <c r="C27" s="1854"/>
      <c r="D27" s="1874" t="s">
        <v>544</v>
      </c>
      <c r="E27" s="1860" t="s">
        <v>2209</v>
      </c>
      <c r="F27" s="1860"/>
      <c r="G27" s="1861"/>
      <c r="H27" s="1862">
        <v>0</v>
      </c>
      <c r="Q27" s="2005" t="str">
        <f t="shared" si="0"/>
        <v/>
      </c>
    </row>
    <row r="28" spans="2:17">
      <c r="B28" s="1875"/>
      <c r="C28" s="1876"/>
      <c r="D28" s="1877" t="s">
        <v>2109</v>
      </c>
      <c r="E28" s="1865" t="s">
        <v>2210</v>
      </c>
      <c r="F28" s="1865"/>
      <c r="G28" s="436"/>
      <c r="H28" s="1871">
        <v>0</v>
      </c>
      <c r="Q28" s="2005" t="str">
        <f t="shared" si="0"/>
        <v/>
      </c>
    </row>
    <row r="29" spans="2:17">
      <c r="B29" s="1878" t="s">
        <v>372</v>
      </c>
      <c r="C29" s="1850" t="s">
        <v>807</v>
      </c>
      <c r="D29" s="1850"/>
      <c r="E29" s="1849"/>
      <c r="F29" s="1849"/>
      <c r="G29" s="266"/>
      <c r="H29" s="1879">
        <v>0</v>
      </c>
      <c r="Q29" s="2005" t="str">
        <f t="shared" si="0"/>
        <v/>
      </c>
    </row>
    <row r="30" spans="2:17">
      <c r="B30" s="1847"/>
      <c r="C30" s="1853" t="s">
        <v>2159</v>
      </c>
      <c r="D30" s="1850" t="s">
        <v>2165</v>
      </c>
      <c r="E30" s="1849"/>
      <c r="F30" s="1850"/>
      <c r="G30" s="1851"/>
      <c r="H30" s="1852">
        <v>0</v>
      </c>
      <c r="L30" s="2006" t="s">
        <v>1615</v>
      </c>
      <c r="M30" s="2006" t="s">
        <v>2155</v>
      </c>
      <c r="Q30" s="2005" t="str">
        <f t="shared" si="0"/>
        <v/>
      </c>
    </row>
    <row r="31" spans="2:17">
      <c r="B31" s="1847"/>
      <c r="C31" s="1880"/>
      <c r="D31" s="1853" t="s">
        <v>2103</v>
      </c>
      <c r="E31" s="1849" t="s">
        <v>808</v>
      </c>
      <c r="F31" s="1849"/>
      <c r="G31" s="266"/>
      <c r="H31" s="1879">
        <v>0</v>
      </c>
      <c r="Q31" s="2005" t="str">
        <f t="shared" si="0"/>
        <v/>
      </c>
    </row>
    <row r="32" spans="2:17">
      <c r="B32" s="1847"/>
      <c r="C32" s="1880"/>
      <c r="D32" s="1867"/>
      <c r="E32" s="1853" t="s">
        <v>2107</v>
      </c>
      <c r="F32" s="1856" t="s">
        <v>2211</v>
      </c>
      <c r="G32" s="1857"/>
      <c r="H32" s="1881">
        <v>0</v>
      </c>
      <c r="Q32" s="2005" t="str">
        <f t="shared" si="0"/>
        <v/>
      </c>
    </row>
    <row r="33" spans="2:17">
      <c r="B33" s="1847"/>
      <c r="C33" s="1880"/>
      <c r="D33" s="1867"/>
      <c r="E33" s="1867"/>
      <c r="F33" s="1882">
        <v>1</v>
      </c>
      <c r="G33" s="1861" t="s">
        <v>1965</v>
      </c>
      <c r="H33" s="1883">
        <v>0</v>
      </c>
      <c r="L33" s="2007" t="s">
        <v>288</v>
      </c>
      <c r="M33" s="2007" t="s">
        <v>2156</v>
      </c>
      <c r="Q33" s="2005" t="str">
        <f t="shared" si="0"/>
        <v/>
      </c>
    </row>
    <row r="34" spans="2:17">
      <c r="B34" s="1847"/>
      <c r="C34" s="1880"/>
      <c r="D34" s="1867"/>
      <c r="E34" s="1867"/>
      <c r="F34" s="1882">
        <v>2</v>
      </c>
      <c r="G34" s="1861" t="s">
        <v>1967</v>
      </c>
      <c r="H34" s="1883">
        <v>0</v>
      </c>
      <c r="L34" s="2007" t="s">
        <v>2156</v>
      </c>
      <c r="M34" s="2007" t="s">
        <v>288</v>
      </c>
      <c r="Q34" s="2005" t="str">
        <f t="shared" si="0"/>
        <v/>
      </c>
    </row>
    <row r="35" spans="2:17">
      <c r="B35" s="1847"/>
      <c r="C35" s="1880"/>
      <c r="D35" s="1867"/>
      <c r="E35" s="1867"/>
      <c r="F35" s="1882">
        <v>3</v>
      </c>
      <c r="G35" s="1861" t="s">
        <v>1969</v>
      </c>
      <c r="H35" s="1883">
        <v>0</v>
      </c>
      <c r="L35" s="2007" t="s">
        <v>288</v>
      </c>
      <c r="M35" s="2007" t="s">
        <v>2156</v>
      </c>
      <c r="Q35" s="2005" t="str">
        <f t="shared" si="0"/>
        <v/>
      </c>
    </row>
    <row r="36" spans="2:17">
      <c r="B36" s="1847"/>
      <c r="C36" s="1880"/>
      <c r="D36" s="1867"/>
      <c r="E36" s="1867"/>
      <c r="F36" s="1882">
        <v>4</v>
      </c>
      <c r="G36" s="1861" t="s">
        <v>1971</v>
      </c>
      <c r="H36" s="1883">
        <v>0</v>
      </c>
      <c r="L36" s="2007" t="s">
        <v>288</v>
      </c>
      <c r="M36" s="2007" t="s">
        <v>2156</v>
      </c>
      <c r="Q36" s="2005" t="str">
        <f t="shared" si="0"/>
        <v/>
      </c>
    </row>
    <row r="37" spans="2:17">
      <c r="B37" s="1847"/>
      <c r="C37" s="1880"/>
      <c r="D37" s="1867"/>
      <c r="E37" s="1867"/>
      <c r="F37" s="1882">
        <v>5</v>
      </c>
      <c r="G37" s="1861" t="s">
        <v>1973</v>
      </c>
      <c r="H37" s="1883">
        <v>0</v>
      </c>
      <c r="L37" s="2007" t="s">
        <v>288</v>
      </c>
      <c r="M37" s="2007" t="s">
        <v>2156</v>
      </c>
      <c r="Q37" s="2005" t="str">
        <f t="shared" si="0"/>
        <v/>
      </c>
    </row>
    <row r="38" spans="2:17">
      <c r="B38" s="1847"/>
      <c r="C38" s="1880"/>
      <c r="D38" s="1867"/>
      <c r="E38" s="1867"/>
      <c r="F38" s="1882">
        <v>6</v>
      </c>
      <c r="G38" s="1861" t="s">
        <v>1975</v>
      </c>
      <c r="H38" s="1883">
        <v>0</v>
      </c>
      <c r="L38" s="2007" t="s">
        <v>288</v>
      </c>
      <c r="M38" s="2007" t="s">
        <v>2156</v>
      </c>
      <c r="Q38" s="2005" t="str">
        <f t="shared" si="0"/>
        <v/>
      </c>
    </row>
    <row r="39" spans="2:17">
      <c r="B39" s="1847"/>
      <c r="C39" s="1880"/>
      <c r="D39" s="1867"/>
      <c r="E39" s="1867"/>
      <c r="F39" s="1882">
        <v>7</v>
      </c>
      <c r="G39" s="1861" t="s">
        <v>1977</v>
      </c>
      <c r="H39" s="1883">
        <v>0</v>
      </c>
      <c r="L39" s="2007" t="s">
        <v>2156</v>
      </c>
      <c r="M39" s="2007" t="s">
        <v>288</v>
      </c>
      <c r="Q39" s="2005" t="str">
        <f t="shared" si="0"/>
        <v/>
      </c>
    </row>
    <row r="40" spans="2:17">
      <c r="B40" s="1847"/>
      <c r="C40" s="1880"/>
      <c r="D40" s="1867"/>
      <c r="E40" s="1867"/>
      <c r="F40" s="1882">
        <v>8</v>
      </c>
      <c r="G40" s="1861" t="s">
        <v>1979</v>
      </c>
      <c r="H40" s="1883">
        <v>0</v>
      </c>
      <c r="L40" s="2007" t="s">
        <v>288</v>
      </c>
      <c r="M40" s="2007" t="s">
        <v>2156</v>
      </c>
      <c r="Q40" s="2005" t="str">
        <f t="shared" si="0"/>
        <v/>
      </c>
    </row>
    <row r="41" spans="2:17">
      <c r="B41" s="1847"/>
      <c r="C41" s="1880"/>
      <c r="D41" s="1867"/>
      <c r="E41" s="1867"/>
      <c r="F41" s="1882">
        <v>9</v>
      </c>
      <c r="G41" s="1861" t="s">
        <v>1981</v>
      </c>
      <c r="H41" s="1883">
        <v>0</v>
      </c>
      <c r="L41" s="2007" t="s">
        <v>288</v>
      </c>
      <c r="M41" s="2007" t="s">
        <v>2156</v>
      </c>
      <c r="Q41" s="2005" t="str">
        <f t="shared" si="0"/>
        <v/>
      </c>
    </row>
    <row r="42" spans="2:17">
      <c r="B42" s="1847"/>
      <c r="C42" s="1880"/>
      <c r="D42" s="1867"/>
      <c r="E42" s="1867"/>
      <c r="F42" s="1882">
        <v>10</v>
      </c>
      <c r="G42" s="1861" t="s">
        <v>1982</v>
      </c>
      <c r="H42" s="1883">
        <v>0</v>
      </c>
      <c r="L42" s="2007" t="s">
        <v>288</v>
      </c>
      <c r="M42" s="2007" t="s">
        <v>2156</v>
      </c>
      <c r="Q42" s="2005" t="str">
        <f t="shared" si="0"/>
        <v/>
      </c>
    </row>
    <row r="43" spans="2:17">
      <c r="B43" s="1847"/>
      <c r="C43" s="1880"/>
      <c r="D43" s="1867"/>
      <c r="E43" s="1867"/>
      <c r="F43" s="1882">
        <v>11</v>
      </c>
      <c r="G43" s="1861" t="s">
        <v>1983</v>
      </c>
      <c r="H43" s="1883">
        <v>0</v>
      </c>
      <c r="L43" s="2007" t="s">
        <v>2156</v>
      </c>
      <c r="M43" s="2007" t="s">
        <v>288</v>
      </c>
      <c r="Q43" s="2005" t="str">
        <f t="shared" si="0"/>
        <v/>
      </c>
    </row>
    <row r="44" spans="2:17">
      <c r="B44" s="1847"/>
      <c r="C44" s="1880"/>
      <c r="D44" s="1867"/>
      <c r="E44" s="1867"/>
      <c r="F44" s="1882">
        <v>12</v>
      </c>
      <c r="G44" s="1861" t="s">
        <v>1984</v>
      </c>
      <c r="H44" s="1883">
        <v>0</v>
      </c>
      <c r="L44" s="2007" t="s">
        <v>288</v>
      </c>
      <c r="M44" s="2007" t="s">
        <v>2156</v>
      </c>
      <c r="Q44" s="2005" t="str">
        <f t="shared" si="0"/>
        <v/>
      </c>
    </row>
    <row r="45" spans="2:17">
      <c r="B45" s="1847"/>
      <c r="C45" s="1880"/>
      <c r="D45" s="1867"/>
      <c r="E45" s="1867"/>
      <c r="F45" s="1882">
        <v>13</v>
      </c>
      <c r="G45" s="1861" t="s">
        <v>2212</v>
      </c>
      <c r="H45" s="1883">
        <v>0</v>
      </c>
      <c r="L45" s="2007" t="s">
        <v>2156</v>
      </c>
      <c r="M45" s="2007" t="s">
        <v>288</v>
      </c>
      <c r="Q45" s="2005" t="str">
        <f t="shared" si="0"/>
        <v/>
      </c>
    </row>
    <row r="46" spans="2:17">
      <c r="B46" s="1847"/>
      <c r="C46" s="1880"/>
      <c r="D46" s="1867"/>
      <c r="E46" s="1867"/>
      <c r="F46" s="1882">
        <v>14</v>
      </c>
      <c r="G46" s="1861" t="s">
        <v>1985</v>
      </c>
      <c r="H46" s="1883">
        <v>0</v>
      </c>
      <c r="L46" s="2007" t="s">
        <v>288</v>
      </c>
      <c r="M46" s="2007" t="s">
        <v>2156</v>
      </c>
      <c r="Q46" s="2005" t="str">
        <f t="shared" si="0"/>
        <v/>
      </c>
    </row>
    <row r="47" spans="2:17">
      <c r="B47" s="1847"/>
      <c r="C47" s="1880"/>
      <c r="D47" s="1867"/>
      <c r="E47" s="1884" t="s">
        <v>2108</v>
      </c>
      <c r="F47" s="1885" t="s">
        <v>2213</v>
      </c>
      <c r="G47" s="1886"/>
      <c r="H47" s="1887">
        <v>0</v>
      </c>
      <c r="Q47" s="2005" t="str">
        <f t="shared" si="0"/>
        <v/>
      </c>
    </row>
    <row r="48" spans="2:17">
      <c r="B48" s="1847"/>
      <c r="C48" s="1880"/>
      <c r="D48" s="1867"/>
      <c r="E48" s="1867"/>
      <c r="F48" s="1888" t="s">
        <v>2111</v>
      </c>
      <c r="G48" s="1861" t="s">
        <v>1990</v>
      </c>
      <c r="H48" s="1889">
        <v>0</v>
      </c>
      <c r="L48" s="2007" t="s">
        <v>288</v>
      </c>
      <c r="M48" s="2007" t="s">
        <v>2156</v>
      </c>
      <c r="Q48" s="2005" t="str">
        <f t="shared" si="0"/>
        <v/>
      </c>
    </row>
    <row r="49" spans="2:17">
      <c r="B49" s="1847"/>
      <c r="C49" s="1880"/>
      <c r="D49" s="1867"/>
      <c r="E49" s="1890"/>
      <c r="F49" s="1888" t="s">
        <v>2112</v>
      </c>
      <c r="G49" s="1861" t="s">
        <v>1987</v>
      </c>
      <c r="H49" s="1887">
        <v>0</v>
      </c>
      <c r="L49" s="2007" t="s">
        <v>288</v>
      </c>
      <c r="M49" s="2007" t="s">
        <v>2156</v>
      </c>
      <c r="Q49" s="2005" t="str">
        <f t="shared" si="0"/>
        <v/>
      </c>
    </row>
    <row r="50" spans="2:17">
      <c r="B50" s="1847"/>
      <c r="C50" s="1880"/>
      <c r="D50" s="1867"/>
      <c r="E50" s="1867"/>
      <c r="F50" s="1891" t="s">
        <v>2166</v>
      </c>
      <c r="G50" s="1886" t="s">
        <v>1988</v>
      </c>
      <c r="H50" s="1883">
        <v>0</v>
      </c>
      <c r="L50" s="2007" t="s">
        <v>288</v>
      </c>
      <c r="M50" s="2007" t="s">
        <v>2156</v>
      </c>
      <c r="Q50" s="2005" t="str">
        <f t="shared" si="0"/>
        <v/>
      </c>
    </row>
    <row r="51" spans="2:17">
      <c r="B51" s="1847"/>
      <c r="C51" s="1880"/>
      <c r="D51" s="1867"/>
      <c r="E51" s="1892"/>
      <c r="F51" s="1888" t="s">
        <v>2167</v>
      </c>
      <c r="G51" s="1861" t="s">
        <v>2214</v>
      </c>
      <c r="H51" s="1883">
        <v>0</v>
      </c>
      <c r="L51" s="2007" t="s">
        <v>288</v>
      </c>
      <c r="M51" s="2007" t="s">
        <v>2156</v>
      </c>
      <c r="Q51" s="2005" t="str">
        <f t="shared" si="0"/>
        <v/>
      </c>
    </row>
    <row r="52" spans="2:17">
      <c r="B52" s="1847"/>
      <c r="C52" s="1893"/>
      <c r="D52" s="1867"/>
      <c r="E52" s="1867" t="s">
        <v>2115</v>
      </c>
      <c r="F52" s="1894" t="s">
        <v>1989</v>
      </c>
      <c r="G52" s="1895"/>
      <c r="H52" s="1872">
        <v>0</v>
      </c>
      <c r="Q52" s="2005" t="str">
        <f t="shared" si="0"/>
        <v/>
      </c>
    </row>
    <row r="53" spans="2:17">
      <c r="B53" s="1847"/>
      <c r="C53" s="1893"/>
      <c r="D53" s="1867"/>
      <c r="E53" s="1867"/>
      <c r="F53" s="1888" t="s">
        <v>2111</v>
      </c>
      <c r="G53" s="1861" t="s">
        <v>1990</v>
      </c>
      <c r="H53" s="1883">
        <v>0</v>
      </c>
      <c r="L53" s="2007" t="s">
        <v>2156</v>
      </c>
      <c r="M53" s="2007" t="s">
        <v>288</v>
      </c>
      <c r="Q53" s="2005" t="str">
        <f t="shared" si="0"/>
        <v/>
      </c>
    </row>
    <row r="54" spans="2:17">
      <c r="B54" s="1847"/>
      <c r="C54" s="1893"/>
      <c r="D54" s="1867"/>
      <c r="E54" s="1867"/>
      <c r="F54" s="1888" t="s">
        <v>2112</v>
      </c>
      <c r="G54" s="1861" t="s">
        <v>1987</v>
      </c>
      <c r="H54" s="1883">
        <v>0</v>
      </c>
      <c r="L54" s="2007" t="s">
        <v>2156</v>
      </c>
      <c r="M54" s="2007" t="s">
        <v>288</v>
      </c>
      <c r="Q54" s="2005" t="str">
        <f t="shared" si="0"/>
        <v/>
      </c>
    </row>
    <row r="55" spans="2:17">
      <c r="B55" s="1847"/>
      <c r="C55" s="1893"/>
      <c r="D55" s="1863"/>
      <c r="E55" s="1896"/>
      <c r="F55" s="1897" t="s">
        <v>2166</v>
      </c>
      <c r="G55" s="436" t="s">
        <v>2215</v>
      </c>
      <c r="H55" s="1898">
        <v>0</v>
      </c>
      <c r="L55" s="2007" t="s">
        <v>2156</v>
      </c>
      <c r="M55" s="2007" t="s">
        <v>288</v>
      </c>
      <c r="Q55" s="2005" t="str">
        <f t="shared" si="0"/>
        <v/>
      </c>
    </row>
    <row r="56" spans="2:17">
      <c r="B56" s="1847"/>
      <c r="C56" s="1893"/>
      <c r="D56" s="1867" t="s">
        <v>544</v>
      </c>
      <c r="E56" s="1865" t="s">
        <v>809</v>
      </c>
      <c r="F56" s="1865"/>
      <c r="G56" s="436"/>
      <c r="H56" s="1872">
        <v>0</v>
      </c>
      <c r="Q56" s="2005" t="str">
        <f t="shared" si="0"/>
        <v/>
      </c>
    </row>
    <row r="57" spans="2:17">
      <c r="B57" s="1847"/>
      <c r="C57" s="1880"/>
      <c r="D57" s="1867"/>
      <c r="E57" s="1855" t="s">
        <v>2107</v>
      </c>
      <c r="F57" s="1856" t="s">
        <v>1991</v>
      </c>
      <c r="G57" s="1857"/>
      <c r="H57" s="1858">
        <v>0</v>
      </c>
      <c r="L57" s="2007" t="s">
        <v>288</v>
      </c>
      <c r="M57" s="2007" t="s">
        <v>2156</v>
      </c>
      <c r="Q57" s="2005" t="str">
        <f t="shared" si="0"/>
        <v/>
      </c>
    </row>
    <row r="58" spans="2:17">
      <c r="B58" s="1847"/>
      <c r="C58" s="1893"/>
      <c r="D58" s="1863"/>
      <c r="E58" s="1868" t="s">
        <v>2108</v>
      </c>
      <c r="F58" s="1869" t="s">
        <v>2216</v>
      </c>
      <c r="G58" s="1899"/>
      <c r="H58" s="1871">
        <v>0</v>
      </c>
      <c r="L58" s="2007" t="s">
        <v>2156</v>
      </c>
      <c r="M58" s="2007" t="s">
        <v>288</v>
      </c>
      <c r="Q58" s="2005" t="str">
        <f t="shared" si="0"/>
        <v/>
      </c>
    </row>
    <row r="59" spans="2:17">
      <c r="B59" s="1847"/>
      <c r="C59" s="1880"/>
      <c r="D59" s="1848" t="s">
        <v>2109</v>
      </c>
      <c r="E59" s="1849" t="s">
        <v>1992</v>
      </c>
      <c r="F59" s="1849"/>
      <c r="G59" s="266"/>
      <c r="H59" s="1898">
        <v>0</v>
      </c>
      <c r="L59" s="2007" t="s">
        <v>2156</v>
      </c>
      <c r="M59" s="2008" t="s">
        <v>288</v>
      </c>
      <c r="Q59" s="2005" t="str">
        <f t="shared" si="0"/>
        <v/>
      </c>
    </row>
    <row r="60" spans="2:17">
      <c r="B60" s="1847"/>
      <c r="C60" s="1880"/>
      <c r="D60" s="1853" t="s">
        <v>545</v>
      </c>
      <c r="E60" s="1849" t="s">
        <v>810</v>
      </c>
      <c r="F60" s="1849"/>
      <c r="G60" s="266"/>
      <c r="H60" s="1879">
        <v>0</v>
      </c>
      <c r="Q60" s="2005" t="str">
        <f t="shared" si="0"/>
        <v/>
      </c>
    </row>
    <row r="61" spans="2:17" ht="43.5" customHeight="1">
      <c r="B61" s="1847"/>
      <c r="C61" s="1880"/>
      <c r="D61" s="1880"/>
      <c r="E61" s="1972"/>
      <c r="F61" s="1971" t="s">
        <v>2217</v>
      </c>
      <c r="G61" s="1973"/>
      <c r="H61" s="1900"/>
      <c r="Q61" s="2005"/>
    </row>
    <row r="62" spans="2:17">
      <c r="B62" s="1847"/>
      <c r="C62" s="1880"/>
      <c r="D62" s="1893"/>
      <c r="E62" s="1853" t="s">
        <v>2107</v>
      </c>
      <c r="F62" s="1850" t="s">
        <v>1993</v>
      </c>
      <c r="G62" s="1851"/>
      <c r="H62" s="1858">
        <v>0</v>
      </c>
      <c r="Q62" s="2005" t="str">
        <f t="shared" si="0"/>
        <v/>
      </c>
    </row>
    <row r="63" spans="2:17" ht="22.5">
      <c r="B63" s="1847"/>
      <c r="C63" s="1880"/>
      <c r="D63" s="1893"/>
      <c r="E63" s="1901"/>
      <c r="F63" s="1902" t="s">
        <v>2111</v>
      </c>
      <c r="G63" s="1903" t="s">
        <v>2218</v>
      </c>
      <c r="H63" s="1904">
        <v>0</v>
      </c>
      <c r="L63" s="2010" t="s">
        <v>288</v>
      </c>
      <c r="M63" s="2010" t="s">
        <v>2156</v>
      </c>
      <c r="Q63" s="2005" t="str">
        <f t="shared" si="0"/>
        <v/>
      </c>
    </row>
    <row r="64" spans="2:17">
      <c r="B64" s="1847"/>
      <c r="C64" s="1880"/>
      <c r="D64" s="1893"/>
      <c r="E64" s="1901"/>
      <c r="F64" s="1902" t="s">
        <v>2112</v>
      </c>
      <c r="G64" s="1903" t="s">
        <v>2110</v>
      </c>
      <c r="H64" s="1904">
        <v>0</v>
      </c>
      <c r="L64" s="2010" t="s">
        <v>288</v>
      </c>
      <c r="M64" s="2010" t="s">
        <v>2156</v>
      </c>
      <c r="Q64" s="2005" t="str">
        <f t="shared" si="0"/>
        <v/>
      </c>
    </row>
    <row r="65" spans="2:17" ht="52.5">
      <c r="B65" s="1847"/>
      <c r="C65" s="1880"/>
      <c r="D65" s="1893"/>
      <c r="E65" s="1901"/>
      <c r="F65" s="1902" t="s">
        <v>2166</v>
      </c>
      <c r="G65" s="1905" t="s">
        <v>2219</v>
      </c>
      <c r="H65" s="1904">
        <v>0</v>
      </c>
      <c r="L65" s="2010" t="s">
        <v>288</v>
      </c>
      <c r="M65" s="2010" t="s">
        <v>2156</v>
      </c>
      <c r="Q65" s="2005" t="str">
        <f t="shared" si="0"/>
        <v/>
      </c>
    </row>
    <row r="66" spans="2:17" ht="22.5">
      <c r="B66" s="1847"/>
      <c r="C66" s="1880"/>
      <c r="D66" s="1893"/>
      <c r="E66" s="1901"/>
      <c r="F66" s="1902" t="s">
        <v>2167</v>
      </c>
      <c r="G66" s="1903" t="s">
        <v>2168</v>
      </c>
      <c r="H66" s="1904">
        <v>0</v>
      </c>
      <c r="L66" s="2010" t="s">
        <v>288</v>
      </c>
      <c r="M66" s="2010" t="s">
        <v>2156</v>
      </c>
      <c r="Q66" s="2005" t="str">
        <f t="shared" si="0"/>
        <v/>
      </c>
    </row>
    <row r="67" spans="2:17">
      <c r="B67" s="1847"/>
      <c r="C67" s="1880"/>
      <c r="D67" s="1893"/>
      <c r="E67" s="1901"/>
      <c r="F67" s="1902" t="s">
        <v>2169</v>
      </c>
      <c r="G67" s="1903" t="s">
        <v>2170</v>
      </c>
      <c r="H67" s="1904">
        <v>0</v>
      </c>
      <c r="L67" s="2010" t="s">
        <v>288</v>
      </c>
      <c r="M67" s="2010" t="s">
        <v>2156</v>
      </c>
      <c r="Q67" s="2005" t="str">
        <f t="shared" si="0"/>
        <v/>
      </c>
    </row>
    <row r="68" spans="2:17" ht="22.5">
      <c r="B68" s="1847"/>
      <c r="C68" s="1880"/>
      <c r="D68" s="1893"/>
      <c r="E68" s="1901"/>
      <c r="F68" s="1902" t="s">
        <v>2171</v>
      </c>
      <c r="G68" s="1903" t="s">
        <v>2172</v>
      </c>
      <c r="H68" s="1904">
        <v>0</v>
      </c>
      <c r="L68" s="2010" t="s">
        <v>288</v>
      </c>
      <c r="M68" s="2010" t="s">
        <v>2156</v>
      </c>
      <c r="Q68" s="2005" t="str">
        <f t="shared" si="0"/>
        <v/>
      </c>
    </row>
    <row r="69" spans="2:17">
      <c r="B69" s="1847"/>
      <c r="C69" s="1880"/>
      <c r="D69" s="1893"/>
      <c r="E69" s="1901"/>
      <c r="F69" s="1902" t="s">
        <v>2173</v>
      </c>
      <c r="G69" s="1903" t="s">
        <v>2174</v>
      </c>
      <c r="H69" s="1904">
        <v>0</v>
      </c>
      <c r="L69" s="2010" t="s">
        <v>288</v>
      </c>
      <c r="M69" s="2010" t="s">
        <v>2156</v>
      </c>
      <c r="Q69" s="2005" t="str">
        <f t="shared" si="0"/>
        <v/>
      </c>
    </row>
    <row r="70" spans="2:17" ht="33.75">
      <c r="B70" s="1847"/>
      <c r="C70" s="1880"/>
      <c r="D70" s="1893"/>
      <c r="E70" s="1901"/>
      <c r="F70" s="1902" t="s">
        <v>2175</v>
      </c>
      <c r="G70" s="1903" t="s">
        <v>2176</v>
      </c>
      <c r="H70" s="1904">
        <v>0</v>
      </c>
      <c r="L70" s="2010" t="s">
        <v>288</v>
      </c>
      <c r="M70" s="2010" t="s">
        <v>2156</v>
      </c>
      <c r="Q70" s="2005" t="str">
        <f t="shared" si="0"/>
        <v/>
      </c>
    </row>
    <row r="71" spans="2:17" ht="22.5">
      <c r="B71" s="1847"/>
      <c r="C71" s="1880"/>
      <c r="D71" s="1893"/>
      <c r="E71" s="1901"/>
      <c r="F71" s="1902" t="s">
        <v>2177</v>
      </c>
      <c r="G71" s="1903" t="s">
        <v>5734</v>
      </c>
      <c r="H71" s="1904">
        <v>0</v>
      </c>
      <c r="L71" s="2010" t="s">
        <v>288</v>
      </c>
      <c r="M71" s="2010" t="s">
        <v>2156</v>
      </c>
      <c r="Q71" s="2005" t="str">
        <f t="shared" si="0"/>
        <v/>
      </c>
    </row>
    <row r="72" spans="2:17">
      <c r="B72" s="1847"/>
      <c r="C72" s="1880"/>
      <c r="D72" s="1893"/>
      <c r="E72" s="1901"/>
      <c r="F72" s="1906" t="s">
        <v>2178</v>
      </c>
      <c r="G72" s="1907" t="s">
        <v>2179</v>
      </c>
      <c r="H72" s="1908">
        <v>0</v>
      </c>
      <c r="L72" s="2010" t="s">
        <v>288</v>
      </c>
      <c r="M72" s="2010" t="s">
        <v>2156</v>
      </c>
      <c r="Q72" s="2005" t="str">
        <f t="shared" si="0"/>
        <v/>
      </c>
    </row>
    <row r="73" spans="2:17" ht="45">
      <c r="B73" s="1847"/>
      <c r="C73" s="1880"/>
      <c r="D73" s="1893"/>
      <c r="E73" s="1901"/>
      <c r="F73" s="1906" t="s">
        <v>2180</v>
      </c>
      <c r="G73" s="1907" t="s">
        <v>2181</v>
      </c>
      <c r="H73" s="1908">
        <v>0</v>
      </c>
      <c r="L73" s="2010" t="s">
        <v>288</v>
      </c>
      <c r="M73" s="2010" t="s">
        <v>2156</v>
      </c>
      <c r="Q73" s="2005" t="str">
        <f t="shared" si="0"/>
        <v/>
      </c>
    </row>
    <row r="74" spans="2:17">
      <c r="B74" s="1847"/>
      <c r="C74" s="1880"/>
      <c r="D74" s="1893"/>
      <c r="E74" s="1884" t="s">
        <v>2108</v>
      </c>
      <c r="F74" s="1885" t="s">
        <v>2220</v>
      </c>
      <c r="G74" s="1886"/>
      <c r="H74" s="1862">
        <v>0</v>
      </c>
      <c r="Q74" s="2005" t="str">
        <f t="shared" si="0"/>
        <v/>
      </c>
    </row>
    <row r="75" spans="2:17">
      <c r="B75" s="1847"/>
      <c r="C75" s="1880"/>
      <c r="D75" s="1893"/>
      <c r="E75" s="1901"/>
      <c r="F75" s="1902" t="s">
        <v>2111</v>
      </c>
      <c r="G75" s="1903" t="s">
        <v>2221</v>
      </c>
      <c r="H75" s="1904">
        <v>0</v>
      </c>
      <c r="L75" s="2007" t="s">
        <v>2156</v>
      </c>
      <c r="M75" s="2007" t="s">
        <v>2156</v>
      </c>
      <c r="Q75" s="2005" t="str">
        <f t="shared" si="0"/>
        <v/>
      </c>
    </row>
    <row r="76" spans="2:17">
      <c r="B76" s="1847"/>
      <c r="C76" s="1880"/>
      <c r="D76" s="1893"/>
      <c r="E76" s="1901"/>
      <c r="F76" s="1902" t="s">
        <v>2112</v>
      </c>
      <c r="G76" s="1903" t="s">
        <v>2222</v>
      </c>
      <c r="H76" s="1904">
        <v>0</v>
      </c>
      <c r="L76" s="2007" t="s">
        <v>2156</v>
      </c>
      <c r="M76" s="2007" t="s">
        <v>2156</v>
      </c>
      <c r="Q76" s="2005" t="str">
        <f t="shared" si="0"/>
        <v/>
      </c>
    </row>
    <row r="77" spans="2:17">
      <c r="B77" s="1847"/>
      <c r="C77" s="1880"/>
      <c r="D77" s="1854"/>
      <c r="E77" s="1859" t="s">
        <v>1942</v>
      </c>
      <c r="F77" s="1860" t="s">
        <v>2223</v>
      </c>
      <c r="G77" s="1861"/>
      <c r="H77" s="1862">
        <v>0</v>
      </c>
      <c r="L77" s="2007" t="s">
        <v>2156</v>
      </c>
      <c r="M77" s="2007" t="s">
        <v>288</v>
      </c>
      <c r="Q77" s="2005" t="str">
        <f t="shared" ref="Q77:Q149" si="1">IF($H77="","※","")</f>
        <v/>
      </c>
    </row>
    <row r="78" spans="2:17">
      <c r="B78" s="1847"/>
      <c r="C78" s="1880"/>
      <c r="D78" s="1854"/>
      <c r="E78" s="1859" t="s">
        <v>1944</v>
      </c>
      <c r="F78" s="1860" t="s">
        <v>2004</v>
      </c>
      <c r="G78" s="1861"/>
      <c r="H78" s="1862">
        <v>0</v>
      </c>
      <c r="L78" s="2007" t="s">
        <v>2156</v>
      </c>
      <c r="M78" s="2007" t="s">
        <v>288</v>
      </c>
      <c r="Q78" s="2005" t="str">
        <f t="shared" si="1"/>
        <v/>
      </c>
    </row>
    <row r="79" spans="2:17">
      <c r="B79" s="1847"/>
      <c r="C79" s="1880"/>
      <c r="D79" s="1854"/>
      <c r="E79" s="1884" t="s">
        <v>1945</v>
      </c>
      <c r="F79" s="1860" t="s">
        <v>2224</v>
      </c>
      <c r="G79" s="1861"/>
      <c r="H79" s="1862">
        <v>0</v>
      </c>
      <c r="L79" s="2007" t="s">
        <v>2156</v>
      </c>
      <c r="M79" s="2007" t="s">
        <v>288</v>
      </c>
      <c r="Q79" s="2005" t="str">
        <f t="shared" si="1"/>
        <v/>
      </c>
    </row>
    <row r="80" spans="2:17">
      <c r="B80" s="1847"/>
      <c r="C80" s="1880"/>
      <c r="D80" s="1854"/>
      <c r="E80" s="1859" t="s">
        <v>1947</v>
      </c>
      <c r="F80" s="1885" t="s">
        <v>2225</v>
      </c>
      <c r="G80" s="1886"/>
      <c r="H80" s="1862">
        <v>0</v>
      </c>
      <c r="L80" s="2007" t="s">
        <v>2156</v>
      </c>
      <c r="M80" s="2007" t="s">
        <v>288</v>
      </c>
      <c r="Q80" s="2005" t="str">
        <f t="shared" si="1"/>
        <v/>
      </c>
    </row>
    <row r="81" spans="2:17">
      <c r="B81" s="1847"/>
      <c r="C81" s="1880"/>
      <c r="D81" s="1854"/>
      <c r="E81" s="1859" t="s">
        <v>1948</v>
      </c>
      <c r="F81" s="1885" t="s">
        <v>2005</v>
      </c>
      <c r="G81" s="1886"/>
      <c r="H81" s="1862">
        <v>0</v>
      </c>
      <c r="L81" s="2007" t="s">
        <v>2156</v>
      </c>
      <c r="M81" s="2007" t="s">
        <v>288</v>
      </c>
      <c r="Q81" s="2005" t="str">
        <f t="shared" si="1"/>
        <v/>
      </c>
    </row>
    <row r="82" spans="2:17">
      <c r="B82" s="1847"/>
      <c r="C82" s="1880"/>
      <c r="D82" s="1854"/>
      <c r="E82" s="1859" t="s">
        <v>1950</v>
      </c>
      <c r="F82" s="1885" t="s">
        <v>2182</v>
      </c>
      <c r="G82" s="1886"/>
      <c r="H82" s="1862">
        <v>0</v>
      </c>
      <c r="L82" s="2007" t="s">
        <v>2156</v>
      </c>
      <c r="M82" s="2007" t="s">
        <v>288</v>
      </c>
      <c r="Q82" s="2005" t="str">
        <f t="shared" si="1"/>
        <v/>
      </c>
    </row>
    <row r="83" spans="2:17" ht="13.5" customHeight="1">
      <c r="B83" s="1847"/>
      <c r="C83" s="1880"/>
      <c r="D83" s="1854"/>
      <c r="E83" s="1859" t="s">
        <v>1952</v>
      </c>
      <c r="F83" s="1885" t="s">
        <v>2016</v>
      </c>
      <c r="G83" s="1886"/>
      <c r="H83" s="1862">
        <v>0</v>
      </c>
      <c r="L83" s="2007" t="s">
        <v>2156</v>
      </c>
      <c r="M83" s="2007" t="s">
        <v>288</v>
      </c>
      <c r="Q83" s="2005" t="str">
        <f t="shared" si="1"/>
        <v/>
      </c>
    </row>
    <row r="84" spans="2:17" ht="13.5" customHeight="1">
      <c r="B84" s="1847"/>
      <c r="C84" s="1880"/>
      <c r="D84" s="1867"/>
      <c r="E84" s="1884" t="s">
        <v>1953</v>
      </c>
      <c r="F84" s="1885" t="s">
        <v>5639</v>
      </c>
      <c r="G84" s="1886"/>
      <c r="H84" s="1862">
        <v>0</v>
      </c>
      <c r="L84" s="2007" t="s">
        <v>2156</v>
      </c>
      <c r="M84" s="2007" t="s">
        <v>288</v>
      </c>
      <c r="Q84" s="2005" t="str">
        <f t="shared" si="1"/>
        <v/>
      </c>
    </row>
    <row r="85" spans="2:17">
      <c r="B85" s="1847"/>
      <c r="C85" s="1880"/>
      <c r="D85" s="1867"/>
      <c r="E85" s="1884" t="s">
        <v>1954</v>
      </c>
      <c r="F85" s="2011" t="s">
        <v>2216</v>
      </c>
      <c r="G85" s="2012"/>
      <c r="H85" s="1862">
        <v>0</v>
      </c>
      <c r="L85" s="2007" t="s">
        <v>2156</v>
      </c>
      <c r="M85" s="2007" t="s">
        <v>288</v>
      </c>
      <c r="Q85" s="2005" t="str">
        <f t="shared" si="1"/>
        <v/>
      </c>
    </row>
    <row r="86" spans="2:17">
      <c r="B86" s="1847"/>
      <c r="C86" s="1880"/>
      <c r="D86" s="1854"/>
      <c r="E86" s="1867"/>
      <c r="F86" s="2011" t="s">
        <v>2216</v>
      </c>
      <c r="G86" s="2012"/>
      <c r="H86" s="1862">
        <v>0</v>
      </c>
      <c r="L86" s="2007" t="s">
        <v>2156</v>
      </c>
      <c r="M86" s="2007" t="s">
        <v>288</v>
      </c>
      <c r="Q86" s="2005" t="str">
        <f t="shared" si="1"/>
        <v/>
      </c>
    </row>
    <row r="87" spans="2:17">
      <c r="B87" s="1847"/>
      <c r="C87" s="1880"/>
      <c r="D87" s="1867"/>
      <c r="E87" s="1863"/>
      <c r="F87" s="2013" t="s">
        <v>2216</v>
      </c>
      <c r="G87" s="1909"/>
      <c r="H87" s="1871">
        <v>0</v>
      </c>
      <c r="L87" s="2007" t="s">
        <v>2156</v>
      </c>
      <c r="M87" s="2007" t="s">
        <v>288</v>
      </c>
      <c r="Q87" s="2005" t="str">
        <f t="shared" si="1"/>
        <v/>
      </c>
    </row>
    <row r="88" spans="2:17">
      <c r="B88" s="1847"/>
      <c r="C88" s="1880"/>
      <c r="D88" s="1853" t="s">
        <v>546</v>
      </c>
      <c r="E88" s="1849" t="s">
        <v>811</v>
      </c>
      <c r="F88" s="1849"/>
      <c r="G88" s="266"/>
      <c r="H88" s="1872">
        <v>0</v>
      </c>
      <c r="L88" s="2020"/>
      <c r="M88" s="2020"/>
      <c r="Q88" s="2005" t="str">
        <f t="shared" si="1"/>
        <v/>
      </c>
    </row>
    <row r="89" spans="2:17">
      <c r="B89" s="1847"/>
      <c r="C89" s="1880"/>
      <c r="D89" s="1854"/>
      <c r="E89" s="1855" t="s">
        <v>2107</v>
      </c>
      <c r="F89" s="1856" t="s">
        <v>2006</v>
      </c>
      <c r="G89" s="1857"/>
      <c r="H89" s="1858">
        <v>0</v>
      </c>
      <c r="L89" s="2007" t="s">
        <v>2156</v>
      </c>
      <c r="M89" s="2007" t="s">
        <v>288</v>
      </c>
      <c r="Q89" s="2005" t="str">
        <f t="shared" si="1"/>
        <v/>
      </c>
    </row>
    <row r="90" spans="2:17">
      <c r="B90" s="1847"/>
      <c r="C90" s="1880"/>
      <c r="D90" s="1854"/>
      <c r="E90" s="1868" t="s">
        <v>2108</v>
      </c>
      <c r="F90" s="1869" t="s">
        <v>2007</v>
      </c>
      <c r="G90" s="1870"/>
      <c r="H90" s="1871">
        <v>0</v>
      </c>
      <c r="L90" s="2007" t="s">
        <v>2156</v>
      </c>
      <c r="M90" s="2007" t="s">
        <v>288</v>
      </c>
      <c r="Q90" s="2005" t="str">
        <f t="shared" si="1"/>
        <v/>
      </c>
    </row>
    <row r="91" spans="2:17">
      <c r="B91" s="1847"/>
      <c r="C91" s="1880"/>
      <c r="D91" s="1853" t="s">
        <v>547</v>
      </c>
      <c r="E91" s="1849" t="s">
        <v>812</v>
      </c>
      <c r="F91" s="1849"/>
      <c r="G91" s="266"/>
      <c r="H91" s="1852">
        <v>0</v>
      </c>
      <c r="Q91" s="2005" t="str">
        <f t="shared" si="1"/>
        <v/>
      </c>
    </row>
    <row r="92" spans="2:17">
      <c r="B92" s="1847"/>
      <c r="C92" s="1880"/>
      <c r="D92" s="1854"/>
      <c r="E92" s="1855" t="s">
        <v>2107</v>
      </c>
      <c r="F92" s="1856" t="s">
        <v>2008</v>
      </c>
      <c r="G92" s="1857"/>
      <c r="H92" s="1858">
        <v>0</v>
      </c>
      <c r="L92" s="2007" t="s">
        <v>288</v>
      </c>
      <c r="M92" s="2007" t="s">
        <v>2156</v>
      </c>
      <c r="Q92" s="2005" t="str">
        <f t="shared" si="1"/>
        <v/>
      </c>
    </row>
    <row r="93" spans="2:17">
      <c r="B93" s="1847"/>
      <c r="C93" s="1880"/>
      <c r="D93" s="1854"/>
      <c r="E93" s="1859" t="s">
        <v>2108</v>
      </c>
      <c r="F93" s="1860" t="s">
        <v>2226</v>
      </c>
      <c r="G93" s="1861"/>
      <c r="H93" s="1862">
        <v>0</v>
      </c>
      <c r="L93" s="2007" t="s">
        <v>2156</v>
      </c>
      <c r="M93" s="2007" t="s">
        <v>288</v>
      </c>
      <c r="Q93" s="2005" t="str">
        <f t="shared" si="1"/>
        <v/>
      </c>
    </row>
    <row r="94" spans="2:17">
      <c r="B94" s="1847"/>
      <c r="C94" s="1880"/>
      <c r="D94" s="1854"/>
      <c r="E94" s="1859" t="s">
        <v>2115</v>
      </c>
      <c r="F94" s="1860" t="s">
        <v>2010</v>
      </c>
      <c r="G94" s="1861"/>
      <c r="H94" s="1862">
        <v>0</v>
      </c>
      <c r="L94" s="2007" t="s">
        <v>2156</v>
      </c>
      <c r="M94" s="2007" t="s">
        <v>288</v>
      </c>
      <c r="Q94" s="2005" t="str">
        <f t="shared" si="1"/>
        <v/>
      </c>
    </row>
    <row r="95" spans="2:17">
      <c r="B95" s="1847"/>
      <c r="C95" s="1880"/>
      <c r="D95" s="1854"/>
      <c r="E95" s="1859" t="s">
        <v>2113</v>
      </c>
      <c r="F95" s="1860" t="s">
        <v>2011</v>
      </c>
      <c r="G95" s="1861"/>
      <c r="H95" s="1862">
        <v>0</v>
      </c>
      <c r="L95" s="2007" t="s">
        <v>2156</v>
      </c>
      <c r="M95" s="2007" t="s">
        <v>288</v>
      </c>
      <c r="Q95" s="2005" t="str">
        <f t="shared" si="1"/>
        <v/>
      </c>
    </row>
    <row r="96" spans="2:17">
      <c r="B96" s="1847"/>
      <c r="C96" s="1880"/>
      <c r="D96" s="1854"/>
      <c r="E96" s="1859" t="s">
        <v>2114</v>
      </c>
      <c r="F96" s="1860" t="s">
        <v>2012</v>
      </c>
      <c r="G96" s="1861"/>
      <c r="H96" s="1862">
        <v>0</v>
      </c>
      <c r="L96" s="2007" t="s">
        <v>2156</v>
      </c>
      <c r="M96" s="2007" t="s">
        <v>288</v>
      </c>
      <c r="Q96" s="2005" t="str">
        <f t="shared" si="1"/>
        <v/>
      </c>
    </row>
    <row r="97" spans="2:17">
      <c r="B97" s="1847"/>
      <c r="C97" s="1880"/>
      <c r="D97" s="1854"/>
      <c r="E97" s="1859" t="s">
        <v>1947</v>
      </c>
      <c r="F97" s="1860" t="s">
        <v>2227</v>
      </c>
      <c r="G97" s="1861"/>
      <c r="H97" s="1862">
        <v>0</v>
      </c>
      <c r="L97" s="2007" t="s">
        <v>2156</v>
      </c>
      <c r="M97" s="2007" t="s">
        <v>288</v>
      </c>
      <c r="Q97" s="2005" t="str">
        <f t="shared" si="1"/>
        <v/>
      </c>
    </row>
    <row r="98" spans="2:17">
      <c r="B98" s="1847"/>
      <c r="C98" s="1880"/>
      <c r="D98" s="1876"/>
      <c r="E98" s="1884" t="s">
        <v>1948</v>
      </c>
      <c r="F98" s="1869" t="s">
        <v>814</v>
      </c>
      <c r="G98" s="1899"/>
      <c r="H98" s="1871">
        <v>0</v>
      </c>
      <c r="L98" s="2007" t="s">
        <v>2156</v>
      </c>
      <c r="M98" s="2007" t="s">
        <v>288</v>
      </c>
      <c r="Q98" s="2005" t="str">
        <f t="shared" si="1"/>
        <v/>
      </c>
    </row>
    <row r="99" spans="2:17">
      <c r="B99" s="1847"/>
      <c r="C99" s="1880"/>
      <c r="D99" s="1853" t="s">
        <v>548</v>
      </c>
      <c r="E99" s="1849" t="s">
        <v>813</v>
      </c>
      <c r="F99" s="1849"/>
      <c r="G99" s="266"/>
      <c r="H99" s="1872">
        <v>0</v>
      </c>
      <c r="Q99" s="2005" t="str">
        <f t="shared" si="1"/>
        <v/>
      </c>
    </row>
    <row r="100" spans="2:17">
      <c r="B100" s="1847"/>
      <c r="C100" s="1880"/>
      <c r="D100" s="1893"/>
      <c r="E100" s="1853" t="s">
        <v>2107</v>
      </c>
      <c r="F100" s="1856" t="s">
        <v>2014</v>
      </c>
      <c r="G100" s="1857"/>
      <c r="H100" s="1858">
        <v>0</v>
      </c>
      <c r="Q100" s="2005" t="str">
        <f t="shared" si="1"/>
        <v/>
      </c>
    </row>
    <row r="101" spans="2:17" ht="41.25" customHeight="1">
      <c r="B101" s="1847"/>
      <c r="C101" s="1880"/>
      <c r="D101" s="1893"/>
      <c r="E101" s="1867"/>
      <c r="F101" s="1902" t="s">
        <v>2111</v>
      </c>
      <c r="G101" s="1903" t="s">
        <v>2228</v>
      </c>
      <c r="H101" s="1862">
        <v>0</v>
      </c>
      <c r="L101" s="2010" t="s">
        <v>288</v>
      </c>
      <c r="M101" s="2010" t="s">
        <v>2156</v>
      </c>
      <c r="Q101" s="2005" t="str">
        <f t="shared" si="1"/>
        <v/>
      </c>
    </row>
    <row r="102" spans="2:17" ht="48" customHeight="1">
      <c r="B102" s="1847"/>
      <c r="C102" s="1880"/>
      <c r="D102" s="1893"/>
      <c r="E102" s="1910"/>
      <c r="F102" s="1902" t="s">
        <v>2112</v>
      </c>
      <c r="G102" s="1903" t="s">
        <v>2229</v>
      </c>
      <c r="H102" s="1862">
        <v>0</v>
      </c>
      <c r="L102" s="2010" t="s">
        <v>288</v>
      </c>
      <c r="M102" s="2010" t="s">
        <v>2156</v>
      </c>
      <c r="Q102" s="2005" t="str">
        <f t="shared" si="1"/>
        <v/>
      </c>
    </row>
    <row r="103" spans="2:17">
      <c r="B103" s="1847"/>
      <c r="C103" s="1880"/>
      <c r="D103" s="1893"/>
      <c r="E103" s="1884" t="s">
        <v>2108</v>
      </c>
      <c r="F103" s="1860" t="s">
        <v>2015</v>
      </c>
      <c r="G103" s="1861"/>
      <c r="H103" s="1862">
        <v>0</v>
      </c>
      <c r="Q103" s="2005" t="str">
        <f t="shared" si="1"/>
        <v/>
      </c>
    </row>
    <row r="104" spans="2:17" ht="48.75" customHeight="1">
      <c r="B104" s="1847"/>
      <c r="C104" s="1880"/>
      <c r="D104" s="1893"/>
      <c r="E104" s="1890"/>
      <c r="F104" s="1902" t="s">
        <v>2111</v>
      </c>
      <c r="G104" s="1903" t="s">
        <v>2230</v>
      </c>
      <c r="H104" s="1862">
        <v>0</v>
      </c>
      <c r="L104" s="2010" t="s">
        <v>288</v>
      </c>
      <c r="M104" s="2010" t="s">
        <v>2156</v>
      </c>
      <c r="Q104" s="2005" t="str">
        <f t="shared" si="1"/>
        <v/>
      </c>
    </row>
    <row r="105" spans="2:17" ht="60" customHeight="1">
      <c r="B105" s="1847"/>
      <c r="C105" s="1880"/>
      <c r="D105" s="1893"/>
      <c r="E105" s="1892"/>
      <c r="F105" s="1902" t="s">
        <v>2112</v>
      </c>
      <c r="G105" s="1903" t="s">
        <v>2231</v>
      </c>
      <c r="H105" s="1862">
        <v>0</v>
      </c>
      <c r="L105" s="2010" t="s">
        <v>288</v>
      </c>
      <c r="M105" s="2010" t="s">
        <v>2156</v>
      </c>
      <c r="Q105" s="2005" t="str">
        <f t="shared" si="1"/>
        <v/>
      </c>
    </row>
    <row r="106" spans="2:17">
      <c r="B106" s="1847"/>
      <c r="C106" s="1880"/>
      <c r="D106" s="1893"/>
      <c r="E106" s="1859" t="s">
        <v>2115</v>
      </c>
      <c r="F106" s="1860" t="s">
        <v>2116</v>
      </c>
      <c r="G106" s="1861"/>
      <c r="H106" s="1862">
        <v>0</v>
      </c>
      <c r="L106" s="2010" t="s">
        <v>288</v>
      </c>
      <c r="M106" s="2010" t="s">
        <v>2156</v>
      </c>
      <c r="Q106" s="2005" t="str">
        <f t="shared" si="1"/>
        <v/>
      </c>
    </row>
    <row r="107" spans="2:17">
      <c r="B107" s="1847"/>
      <c r="C107" s="1880"/>
      <c r="D107" s="1893"/>
      <c r="E107" s="1859" t="s">
        <v>2113</v>
      </c>
      <c r="F107" s="1860" t="s">
        <v>2232</v>
      </c>
      <c r="G107" s="1861"/>
      <c r="H107" s="1862">
        <v>0</v>
      </c>
      <c r="L107" s="2010" t="s">
        <v>288</v>
      </c>
      <c r="M107" s="2010" t="s">
        <v>2156</v>
      </c>
      <c r="Q107" s="2005" t="str">
        <f t="shared" si="1"/>
        <v/>
      </c>
    </row>
    <row r="108" spans="2:17">
      <c r="B108" s="1847"/>
      <c r="C108" s="1880"/>
      <c r="D108" s="1893"/>
      <c r="E108" s="1859" t="s">
        <v>2114</v>
      </c>
      <c r="F108" s="1860" t="s">
        <v>2117</v>
      </c>
      <c r="G108" s="1861"/>
      <c r="H108" s="1862">
        <v>0</v>
      </c>
      <c r="L108" s="2010" t="s">
        <v>2156</v>
      </c>
      <c r="M108" s="2010" t="s">
        <v>288</v>
      </c>
      <c r="Q108" s="2005" t="str">
        <f t="shared" si="1"/>
        <v/>
      </c>
    </row>
    <row r="109" spans="2:17">
      <c r="B109" s="1847"/>
      <c r="C109" s="1880"/>
      <c r="D109" s="1893"/>
      <c r="E109" s="1859" t="s">
        <v>2128</v>
      </c>
      <c r="F109" s="1860" t="s">
        <v>2233</v>
      </c>
      <c r="G109" s="1861"/>
      <c r="H109" s="1862">
        <v>0</v>
      </c>
      <c r="L109" s="2010" t="s">
        <v>2156</v>
      </c>
      <c r="M109" s="2010" t="s">
        <v>288</v>
      </c>
      <c r="Q109" s="2005" t="str">
        <f t="shared" si="1"/>
        <v/>
      </c>
    </row>
    <row r="110" spans="2:17">
      <c r="B110" s="1847"/>
      <c r="C110" s="1880"/>
      <c r="D110" s="1893"/>
      <c r="E110" s="1859" t="s">
        <v>1948</v>
      </c>
      <c r="F110" s="1860" t="s">
        <v>2234</v>
      </c>
      <c r="G110" s="1861"/>
      <c r="H110" s="1862">
        <v>0</v>
      </c>
      <c r="L110" s="2010" t="s">
        <v>2156</v>
      </c>
      <c r="M110" s="2010" t="s">
        <v>288</v>
      </c>
      <c r="Q110" s="2005" t="str">
        <f t="shared" si="1"/>
        <v/>
      </c>
    </row>
    <row r="111" spans="2:17">
      <c r="B111" s="1847"/>
      <c r="C111" s="1880"/>
      <c r="D111" s="1893"/>
      <c r="E111" s="2023" t="s">
        <v>1950</v>
      </c>
      <c r="F111" s="1885" t="s">
        <v>2216</v>
      </c>
      <c r="G111" s="2014"/>
      <c r="H111" s="2015">
        <v>0</v>
      </c>
      <c r="L111" s="2010" t="s">
        <v>2156</v>
      </c>
      <c r="M111" s="2010" t="s">
        <v>288</v>
      </c>
      <c r="Q111" s="2005" t="str">
        <f t="shared" si="1"/>
        <v/>
      </c>
    </row>
    <row r="112" spans="2:17">
      <c r="B112" s="1847"/>
      <c r="C112" s="1880"/>
      <c r="D112" s="1880"/>
      <c r="E112" s="1890"/>
      <c r="F112" s="1885" t="s">
        <v>2216</v>
      </c>
      <c r="G112" s="2014"/>
      <c r="H112" s="2015">
        <v>0</v>
      </c>
      <c r="L112" s="2010" t="s">
        <v>2156</v>
      </c>
      <c r="M112" s="2010" t="s">
        <v>288</v>
      </c>
      <c r="Q112" s="2005" t="str">
        <f t="shared" si="1"/>
        <v/>
      </c>
    </row>
    <row r="113" spans="2:17">
      <c r="B113" s="1847"/>
      <c r="C113" s="1880"/>
      <c r="D113" s="1914"/>
      <c r="E113" s="1896"/>
      <c r="F113" s="1885" t="s">
        <v>2216</v>
      </c>
      <c r="G113" s="2014"/>
      <c r="H113" s="2015">
        <v>0</v>
      </c>
      <c r="L113" s="2010" t="s">
        <v>2156</v>
      </c>
      <c r="M113" s="2010" t="s">
        <v>288</v>
      </c>
      <c r="Q113" s="2005" t="str">
        <f t="shared" si="1"/>
        <v/>
      </c>
    </row>
    <row r="114" spans="2:17">
      <c r="B114" s="1847"/>
      <c r="C114" s="1880"/>
      <c r="D114" s="1912" t="s">
        <v>549</v>
      </c>
      <c r="E114" s="1849" t="s">
        <v>2235</v>
      </c>
      <c r="F114" s="1849"/>
      <c r="G114" s="266"/>
      <c r="H114" s="1879">
        <v>0</v>
      </c>
      <c r="Q114" s="2005" t="str">
        <f t="shared" si="1"/>
        <v/>
      </c>
    </row>
    <row r="115" spans="2:17">
      <c r="B115" s="1847"/>
      <c r="C115" s="1880"/>
      <c r="D115" s="1854"/>
      <c r="E115" s="1855" t="s">
        <v>2107</v>
      </c>
      <c r="F115" s="1856" t="s">
        <v>2236</v>
      </c>
      <c r="G115" s="1857"/>
      <c r="H115" s="1858">
        <v>0</v>
      </c>
      <c r="L115" s="2010" t="s">
        <v>2156</v>
      </c>
      <c r="M115" s="2010" t="s">
        <v>2156</v>
      </c>
      <c r="Q115" s="2005" t="str">
        <f t="shared" si="1"/>
        <v/>
      </c>
    </row>
    <row r="116" spans="2:17">
      <c r="B116" s="1847"/>
      <c r="C116" s="1880"/>
      <c r="D116" s="1854"/>
      <c r="E116" s="1859" t="s">
        <v>2108</v>
      </c>
      <c r="F116" s="1860" t="s">
        <v>2237</v>
      </c>
      <c r="G116" s="1861"/>
      <c r="H116" s="1862">
        <v>0</v>
      </c>
      <c r="L116" s="2010" t="s">
        <v>2156</v>
      </c>
      <c r="M116" s="2010" t="s">
        <v>2156</v>
      </c>
      <c r="Q116" s="2005" t="str">
        <f t="shared" si="1"/>
        <v/>
      </c>
    </row>
    <row r="117" spans="2:17">
      <c r="B117" s="1847"/>
      <c r="C117" s="1880"/>
      <c r="D117" s="1854"/>
      <c r="E117" s="1859" t="s">
        <v>2115</v>
      </c>
      <c r="F117" s="1860" t="s">
        <v>2238</v>
      </c>
      <c r="G117" s="1861"/>
      <c r="H117" s="1862">
        <v>0</v>
      </c>
      <c r="L117" s="2010" t="s">
        <v>2156</v>
      </c>
      <c r="M117" s="2010" t="s">
        <v>2156</v>
      </c>
      <c r="Q117" s="2005" t="str">
        <f t="shared" si="1"/>
        <v/>
      </c>
    </row>
    <row r="118" spans="2:17">
      <c r="B118" s="1847"/>
      <c r="C118" s="1880"/>
      <c r="D118" s="1854"/>
      <c r="E118" s="1859" t="s">
        <v>2113</v>
      </c>
      <c r="F118" s="1860" t="s">
        <v>2239</v>
      </c>
      <c r="G118" s="1861"/>
      <c r="H118" s="1862">
        <v>0</v>
      </c>
      <c r="L118" s="2010" t="s">
        <v>2156</v>
      </c>
      <c r="M118" s="2010" t="s">
        <v>2156</v>
      </c>
      <c r="Q118" s="2005" t="str">
        <f t="shared" si="1"/>
        <v/>
      </c>
    </row>
    <row r="119" spans="2:17">
      <c r="B119" s="1847"/>
      <c r="C119" s="1880"/>
      <c r="D119" s="1876"/>
      <c r="E119" s="1868" t="s">
        <v>2114</v>
      </c>
      <c r="F119" s="1869" t="s">
        <v>2240</v>
      </c>
      <c r="G119" s="1913"/>
      <c r="H119" s="1871">
        <v>0</v>
      </c>
      <c r="L119" s="2010" t="s">
        <v>2156</v>
      </c>
      <c r="M119" s="2010" t="s">
        <v>2156</v>
      </c>
      <c r="Q119" s="2005" t="str">
        <f t="shared" si="1"/>
        <v/>
      </c>
    </row>
    <row r="120" spans="2:17">
      <c r="B120" s="1847"/>
      <c r="C120" s="1880"/>
      <c r="D120" s="1867" t="s">
        <v>2134</v>
      </c>
      <c r="E120" s="2087" t="s">
        <v>2339</v>
      </c>
      <c r="F120" s="2085"/>
      <c r="G120" s="2086"/>
      <c r="H120" s="1872">
        <v>0</v>
      </c>
      <c r="L120" s="2010" t="s">
        <v>2156</v>
      </c>
      <c r="M120" s="2010" t="s">
        <v>2156</v>
      </c>
      <c r="Q120" s="2005" t="str">
        <f t="shared" si="1"/>
        <v/>
      </c>
    </row>
    <row r="121" spans="2:17">
      <c r="B121" s="1847"/>
      <c r="C121" s="1880"/>
      <c r="D121" s="2022" t="s">
        <v>2135</v>
      </c>
      <c r="E121" s="2016" t="s">
        <v>814</v>
      </c>
      <c r="F121" s="1856"/>
      <c r="G121" s="2017"/>
      <c r="H121" s="1881">
        <v>0</v>
      </c>
      <c r="L121" s="2010" t="s">
        <v>2156</v>
      </c>
      <c r="M121" s="2010" t="s">
        <v>288</v>
      </c>
      <c r="Q121" s="2005" t="str">
        <f t="shared" si="1"/>
        <v/>
      </c>
    </row>
    <row r="122" spans="2:17">
      <c r="B122" s="1847"/>
      <c r="C122" s="1880"/>
      <c r="D122" s="1854"/>
      <c r="E122" s="2018" t="s">
        <v>814</v>
      </c>
      <c r="F122" s="1860"/>
      <c r="G122" s="2012"/>
      <c r="H122" s="1883">
        <v>0</v>
      </c>
      <c r="L122" s="2010" t="s">
        <v>2156</v>
      </c>
      <c r="M122" s="2010" t="s">
        <v>288</v>
      </c>
      <c r="Q122" s="2005" t="str">
        <f t="shared" si="1"/>
        <v/>
      </c>
    </row>
    <row r="123" spans="2:17">
      <c r="B123" s="1847"/>
      <c r="C123" s="1880"/>
      <c r="D123" s="1876"/>
      <c r="E123" s="2019" t="s">
        <v>814</v>
      </c>
      <c r="F123" s="1869"/>
      <c r="G123" s="1909"/>
      <c r="H123" s="1915">
        <v>0</v>
      </c>
      <c r="L123" s="2010" t="s">
        <v>2156</v>
      </c>
      <c r="M123" s="2010" t="s">
        <v>288</v>
      </c>
      <c r="Q123" s="2005" t="str">
        <f t="shared" si="1"/>
        <v/>
      </c>
    </row>
    <row r="124" spans="2:17">
      <c r="B124" s="1847"/>
      <c r="C124" s="1848" t="s">
        <v>693</v>
      </c>
      <c r="D124" s="1849" t="s">
        <v>369</v>
      </c>
      <c r="E124" s="1849"/>
      <c r="F124" s="1849"/>
      <c r="G124" s="266"/>
      <c r="H124" s="1879">
        <v>0</v>
      </c>
      <c r="Q124" s="2005" t="str">
        <f t="shared" si="1"/>
        <v/>
      </c>
    </row>
    <row r="125" spans="2:17">
      <c r="B125" s="1847"/>
      <c r="C125" s="1853" t="s">
        <v>2160</v>
      </c>
      <c r="D125" s="1850" t="s">
        <v>2183</v>
      </c>
      <c r="E125" s="1850"/>
      <c r="F125" s="1850"/>
      <c r="G125" s="1851"/>
      <c r="H125" s="1852">
        <v>0</v>
      </c>
      <c r="Q125" s="2005" t="str">
        <f t="shared" si="1"/>
        <v/>
      </c>
    </row>
    <row r="126" spans="2:17">
      <c r="B126" s="1847"/>
      <c r="C126" s="1880"/>
      <c r="D126" s="1853" t="s">
        <v>2103</v>
      </c>
      <c r="E126" s="1849" t="s">
        <v>2118</v>
      </c>
      <c r="F126" s="1849"/>
      <c r="G126" s="266"/>
      <c r="H126" s="1879">
        <v>0</v>
      </c>
      <c r="Q126" s="2005" t="str">
        <f t="shared" si="1"/>
        <v/>
      </c>
    </row>
    <row r="127" spans="2:17">
      <c r="B127" s="1847"/>
      <c r="C127" s="1880"/>
      <c r="D127" s="1853" t="s">
        <v>544</v>
      </c>
      <c r="E127" s="1850" t="s">
        <v>2119</v>
      </c>
      <c r="F127" s="1850"/>
      <c r="G127" s="1851"/>
      <c r="H127" s="1852">
        <v>0</v>
      </c>
      <c r="Q127" s="2005" t="str">
        <f t="shared" si="1"/>
        <v/>
      </c>
    </row>
    <row r="128" spans="2:17">
      <c r="B128" s="1847"/>
      <c r="C128" s="1880"/>
      <c r="D128" s="1867"/>
      <c r="E128" s="1855" t="s">
        <v>2107</v>
      </c>
      <c r="F128" s="1856" t="s">
        <v>2120</v>
      </c>
      <c r="G128" s="1857"/>
      <c r="H128" s="1858">
        <v>0</v>
      </c>
      <c r="Q128" s="2005" t="str">
        <f t="shared" si="1"/>
        <v/>
      </c>
    </row>
    <row r="129" spans="2:17">
      <c r="B129" s="1847"/>
      <c r="C129" s="1893"/>
      <c r="D129" s="1867"/>
      <c r="E129" s="1868" t="s">
        <v>2108</v>
      </c>
      <c r="F129" s="1869" t="s">
        <v>2121</v>
      </c>
      <c r="G129" s="1870"/>
      <c r="H129" s="1871">
        <v>0</v>
      </c>
      <c r="Q129" s="2005" t="str">
        <f t="shared" si="1"/>
        <v/>
      </c>
    </row>
    <row r="130" spans="2:17">
      <c r="B130" s="1847"/>
      <c r="C130" s="1893"/>
      <c r="D130" s="1867"/>
      <c r="E130" s="2089" t="s">
        <v>5735</v>
      </c>
      <c r="F130" s="1865" t="s">
        <v>5736</v>
      </c>
      <c r="G130" s="436"/>
      <c r="H130" s="1871">
        <v>0</v>
      </c>
      <c r="Q130" s="2005"/>
    </row>
    <row r="131" spans="2:17">
      <c r="B131" s="1847"/>
      <c r="C131" s="1893"/>
      <c r="D131" s="1848" t="s">
        <v>2109</v>
      </c>
      <c r="E131" s="1849" t="s">
        <v>2122</v>
      </c>
      <c r="F131" s="1849"/>
      <c r="G131" s="266"/>
      <c r="H131" s="1879">
        <v>0</v>
      </c>
      <c r="Q131" s="2005" t="str">
        <f t="shared" si="1"/>
        <v/>
      </c>
    </row>
    <row r="132" spans="2:17">
      <c r="B132" s="1847"/>
      <c r="C132" s="1880"/>
      <c r="D132" s="1848" t="s">
        <v>545</v>
      </c>
      <c r="E132" s="1849" t="s">
        <v>2184</v>
      </c>
      <c r="F132" s="1849"/>
      <c r="G132" s="266"/>
      <c r="H132" s="1879">
        <v>0</v>
      </c>
      <c r="Q132" s="2005" t="str">
        <f t="shared" si="1"/>
        <v/>
      </c>
    </row>
    <row r="133" spans="2:17">
      <c r="B133" s="1847"/>
      <c r="C133" s="1880"/>
      <c r="D133" s="1848" t="s">
        <v>546</v>
      </c>
      <c r="E133" s="1849" t="s">
        <v>2123</v>
      </c>
      <c r="F133" s="1849"/>
      <c r="G133" s="266"/>
      <c r="H133" s="1879">
        <v>0</v>
      </c>
      <c r="Q133" s="2005" t="str">
        <f t="shared" si="1"/>
        <v/>
      </c>
    </row>
    <row r="134" spans="2:17">
      <c r="B134" s="1847"/>
      <c r="C134" s="1880"/>
      <c r="D134" s="1853" t="s">
        <v>547</v>
      </c>
      <c r="E134" s="1849" t="s">
        <v>2124</v>
      </c>
      <c r="F134" s="1849"/>
      <c r="G134" s="266"/>
      <c r="H134" s="1852">
        <v>0</v>
      </c>
      <c r="Q134" s="2005" t="str">
        <f t="shared" si="1"/>
        <v/>
      </c>
    </row>
    <row r="135" spans="2:17">
      <c r="B135" s="1847"/>
      <c r="C135" s="1880"/>
      <c r="D135" s="1867"/>
      <c r="E135" s="1855" t="s">
        <v>2107</v>
      </c>
      <c r="F135" s="1856" t="s">
        <v>2125</v>
      </c>
      <c r="G135" s="1857"/>
      <c r="H135" s="1858">
        <v>0</v>
      </c>
      <c r="Q135" s="2005" t="str">
        <f t="shared" si="1"/>
        <v/>
      </c>
    </row>
    <row r="136" spans="2:17">
      <c r="B136" s="1847"/>
      <c r="C136" s="1880"/>
      <c r="D136" s="1867"/>
      <c r="E136" s="1859" t="s">
        <v>2108</v>
      </c>
      <c r="F136" s="1860" t="s">
        <v>2126</v>
      </c>
      <c r="G136" s="1861"/>
      <c r="H136" s="1862">
        <v>0</v>
      </c>
      <c r="Q136" s="2005" t="str">
        <f t="shared" si="1"/>
        <v/>
      </c>
    </row>
    <row r="137" spans="2:17">
      <c r="B137" s="1847"/>
      <c r="C137" s="1880"/>
      <c r="D137" s="1867"/>
      <c r="E137" s="1859" t="s">
        <v>2115</v>
      </c>
      <c r="F137" s="1860" t="s">
        <v>2185</v>
      </c>
      <c r="G137" s="1861"/>
      <c r="H137" s="1862">
        <v>0</v>
      </c>
      <c r="Q137" s="2005" t="str">
        <f t="shared" si="1"/>
        <v/>
      </c>
    </row>
    <row r="138" spans="2:17">
      <c r="B138" s="1847"/>
      <c r="C138" s="1880"/>
      <c r="D138" s="1867"/>
      <c r="E138" s="1859" t="s">
        <v>2113</v>
      </c>
      <c r="F138" s="1860" t="s">
        <v>2127</v>
      </c>
      <c r="G138" s="1861"/>
      <c r="H138" s="1862">
        <v>0</v>
      </c>
      <c r="Q138" s="2005" t="str">
        <f t="shared" si="1"/>
        <v/>
      </c>
    </row>
    <row r="139" spans="2:17">
      <c r="B139" s="1847"/>
      <c r="C139" s="1880"/>
      <c r="D139" s="1867"/>
      <c r="E139" s="1859" t="s">
        <v>2114</v>
      </c>
      <c r="F139" s="1860" t="s">
        <v>2241</v>
      </c>
      <c r="G139" s="1861"/>
      <c r="H139" s="1862">
        <v>0</v>
      </c>
      <c r="Q139" s="2005" t="str">
        <f t="shared" si="1"/>
        <v/>
      </c>
    </row>
    <row r="140" spans="2:17">
      <c r="B140" s="1847"/>
      <c r="C140" s="1880"/>
      <c r="D140" s="1867"/>
      <c r="E140" s="1868" t="s">
        <v>2128</v>
      </c>
      <c r="F140" s="1860" t="s">
        <v>2186</v>
      </c>
      <c r="G140" s="1861"/>
      <c r="H140" s="1871">
        <v>0</v>
      </c>
      <c r="Q140" s="2005" t="str">
        <f t="shared" si="1"/>
        <v/>
      </c>
    </row>
    <row r="141" spans="2:17">
      <c r="B141" s="1847"/>
      <c r="C141" s="1880"/>
      <c r="D141" s="1853" t="s">
        <v>548</v>
      </c>
      <c r="E141" s="1894" t="s">
        <v>2187</v>
      </c>
      <c r="F141" s="1850"/>
      <c r="G141" s="1851"/>
      <c r="H141" s="1852">
        <v>0</v>
      </c>
      <c r="Q141" s="2005" t="str">
        <f t="shared" si="1"/>
        <v/>
      </c>
    </row>
    <row r="142" spans="2:17">
      <c r="B142" s="1847"/>
      <c r="C142" s="1880"/>
      <c r="D142" s="1880"/>
      <c r="E142" s="1855" t="s">
        <v>2107</v>
      </c>
      <c r="F142" s="1856" t="s">
        <v>2129</v>
      </c>
      <c r="G142" s="1857"/>
      <c r="H142" s="1881">
        <v>0</v>
      </c>
      <c r="Q142" s="2005" t="str">
        <f t="shared" si="1"/>
        <v/>
      </c>
    </row>
    <row r="143" spans="2:17">
      <c r="B143" s="1847"/>
      <c r="C143" s="1880"/>
      <c r="D143" s="1880"/>
      <c r="E143" s="1859" t="s">
        <v>2108</v>
      </c>
      <c r="F143" s="1860" t="s">
        <v>2130</v>
      </c>
      <c r="G143" s="1861"/>
      <c r="H143" s="1883">
        <v>0</v>
      </c>
      <c r="Q143" s="2005" t="str">
        <f t="shared" si="1"/>
        <v/>
      </c>
    </row>
    <row r="144" spans="2:17">
      <c r="B144" s="1847"/>
      <c r="C144" s="1880"/>
      <c r="D144" s="1880"/>
      <c r="E144" s="1859" t="s">
        <v>2115</v>
      </c>
      <c r="F144" s="1860" t="s">
        <v>2188</v>
      </c>
      <c r="G144" s="1861"/>
      <c r="H144" s="1883">
        <v>0</v>
      </c>
      <c r="Q144" s="2005" t="str">
        <f t="shared" si="1"/>
        <v/>
      </c>
    </row>
    <row r="145" spans="2:17">
      <c r="B145" s="1847"/>
      <c r="C145" s="1880"/>
      <c r="D145" s="1880"/>
      <c r="E145" s="1859" t="s">
        <v>2113</v>
      </c>
      <c r="F145" s="1860" t="s">
        <v>2189</v>
      </c>
      <c r="G145" s="1861"/>
      <c r="H145" s="1883">
        <v>0</v>
      </c>
      <c r="Q145" s="2005" t="str">
        <f t="shared" si="1"/>
        <v/>
      </c>
    </row>
    <row r="146" spans="2:17">
      <c r="B146" s="1847"/>
      <c r="C146" s="1880"/>
      <c r="D146" s="1880"/>
      <c r="E146" s="1859" t="s">
        <v>2114</v>
      </c>
      <c r="F146" s="1860" t="s">
        <v>2131</v>
      </c>
      <c r="G146" s="1861"/>
      <c r="H146" s="1883">
        <v>0</v>
      </c>
      <c r="Q146" s="2005" t="str">
        <f t="shared" si="1"/>
        <v/>
      </c>
    </row>
    <row r="147" spans="2:17">
      <c r="B147" s="1847"/>
      <c r="C147" s="1880"/>
      <c r="D147" s="1914"/>
      <c r="E147" s="1859" t="s">
        <v>2128</v>
      </c>
      <c r="F147" s="1869" t="s">
        <v>2132</v>
      </c>
      <c r="G147" s="1870"/>
      <c r="H147" s="1915">
        <v>0</v>
      </c>
      <c r="Q147" s="2005" t="str">
        <f t="shared" si="1"/>
        <v/>
      </c>
    </row>
    <row r="148" spans="2:17">
      <c r="B148" s="1847"/>
      <c r="C148" s="1880"/>
      <c r="D148" s="1848" t="s">
        <v>549</v>
      </c>
      <c r="E148" s="1849" t="s">
        <v>2133</v>
      </c>
      <c r="F148" s="1849"/>
      <c r="G148" s="266"/>
      <c r="H148" s="1879">
        <v>0</v>
      </c>
      <c r="Q148" s="2005" t="str">
        <f t="shared" si="1"/>
        <v/>
      </c>
    </row>
    <row r="149" spans="2:17">
      <c r="B149" s="1847"/>
      <c r="C149" s="1880"/>
      <c r="D149" s="1848" t="s">
        <v>2134</v>
      </c>
      <c r="E149" s="1849" t="s">
        <v>369</v>
      </c>
      <c r="F149" s="1849"/>
      <c r="G149" s="266"/>
      <c r="H149" s="1879">
        <v>0</v>
      </c>
      <c r="Q149" s="2005" t="str">
        <f t="shared" si="1"/>
        <v/>
      </c>
    </row>
    <row r="150" spans="2:17">
      <c r="B150" s="1847"/>
      <c r="C150" s="1880"/>
      <c r="D150" s="1848" t="s">
        <v>2135</v>
      </c>
      <c r="E150" s="1849" t="s">
        <v>2136</v>
      </c>
      <c r="F150" s="1849"/>
      <c r="G150" s="266"/>
      <c r="H150" s="1879">
        <v>0</v>
      </c>
      <c r="Q150" s="2005" t="str">
        <f t="shared" ref="Q150:Q174" si="2">IF($H150="","※","")</f>
        <v/>
      </c>
    </row>
    <row r="151" spans="2:17">
      <c r="B151" s="1847"/>
      <c r="C151" s="1880"/>
      <c r="D151" s="1848" t="s">
        <v>2137</v>
      </c>
      <c r="E151" s="1849" t="s">
        <v>2138</v>
      </c>
      <c r="F151" s="1849"/>
      <c r="G151" s="266"/>
      <c r="H151" s="1879">
        <v>0</v>
      </c>
      <c r="Q151" s="2005" t="str">
        <f t="shared" si="2"/>
        <v/>
      </c>
    </row>
    <row r="152" spans="2:17">
      <c r="B152" s="1847"/>
      <c r="C152" s="1880"/>
      <c r="D152" s="1848" t="s">
        <v>2139</v>
      </c>
      <c r="E152" s="1916" t="s">
        <v>2242</v>
      </c>
      <c r="F152" s="1917"/>
      <c r="G152" s="1918"/>
      <c r="H152" s="1879">
        <v>0</v>
      </c>
      <c r="Q152" s="2005" t="str">
        <f t="shared" si="2"/>
        <v/>
      </c>
    </row>
    <row r="153" spans="2:17">
      <c r="B153" s="1847"/>
      <c r="C153" s="1880"/>
      <c r="D153" s="1863" t="s">
        <v>2140</v>
      </c>
      <c r="E153" s="1919" t="s">
        <v>2190</v>
      </c>
      <c r="F153" s="590"/>
      <c r="G153" s="1920"/>
      <c r="H153" s="1879">
        <v>0</v>
      </c>
      <c r="Q153" s="2005" t="str">
        <f t="shared" si="2"/>
        <v/>
      </c>
    </row>
    <row r="154" spans="2:17">
      <c r="B154" s="1847"/>
      <c r="C154" s="1880"/>
      <c r="D154" s="1863" t="s">
        <v>2141</v>
      </c>
      <c r="E154" s="1919" t="s">
        <v>2243</v>
      </c>
      <c r="F154" s="152"/>
      <c r="G154" s="1920"/>
      <c r="H154" s="1879">
        <v>0</v>
      </c>
      <c r="Q154" s="2005" t="str">
        <f t="shared" si="2"/>
        <v/>
      </c>
    </row>
    <row r="155" spans="2:17">
      <c r="B155" s="1847"/>
      <c r="C155" s="1880"/>
      <c r="D155" s="1863" t="s">
        <v>2142</v>
      </c>
      <c r="E155" s="1919" t="s">
        <v>2244</v>
      </c>
      <c r="F155" s="590"/>
      <c r="G155" s="1920"/>
      <c r="H155" s="1879">
        <v>0</v>
      </c>
      <c r="Q155" s="2005" t="str">
        <f t="shared" si="2"/>
        <v/>
      </c>
    </row>
    <row r="156" spans="2:17">
      <c r="B156" s="1847"/>
      <c r="C156" s="1880"/>
      <c r="D156" s="1848" t="s">
        <v>2191</v>
      </c>
      <c r="E156" s="1849" t="s">
        <v>2245</v>
      </c>
      <c r="F156" s="1849"/>
      <c r="G156" s="1921"/>
      <c r="H156" s="1879">
        <v>0</v>
      </c>
      <c r="Q156" s="2005" t="str">
        <f t="shared" si="2"/>
        <v/>
      </c>
    </row>
    <row r="157" spans="2:17">
      <c r="B157" s="1847"/>
      <c r="C157" s="1880"/>
      <c r="D157" s="2089" t="s">
        <v>5640</v>
      </c>
      <c r="E157" s="2087" t="s">
        <v>2339</v>
      </c>
      <c r="F157" s="2087"/>
      <c r="G157" s="2090"/>
      <c r="H157" s="2088">
        <v>0</v>
      </c>
      <c r="Q157" s="2005" t="str">
        <f t="shared" si="2"/>
        <v/>
      </c>
    </row>
    <row r="158" spans="2:17">
      <c r="B158" s="1847"/>
      <c r="C158" s="1880"/>
      <c r="D158" s="2021" t="s">
        <v>5641</v>
      </c>
      <c r="E158" s="2016" t="s">
        <v>814</v>
      </c>
      <c r="F158" s="1856"/>
      <c r="G158" s="2017"/>
      <c r="H158" s="1881">
        <v>0</v>
      </c>
      <c r="Q158" s="2005" t="str">
        <f t="shared" si="2"/>
        <v/>
      </c>
    </row>
    <row r="159" spans="2:17">
      <c r="B159" s="1847"/>
      <c r="C159" s="1880"/>
      <c r="D159" s="1867"/>
      <c r="E159" s="2018" t="s">
        <v>814</v>
      </c>
      <c r="F159" s="1860"/>
      <c r="G159" s="2012"/>
      <c r="H159" s="1883">
        <v>0</v>
      </c>
      <c r="Q159" s="2005" t="str">
        <f t="shared" si="2"/>
        <v/>
      </c>
    </row>
    <row r="160" spans="2:17">
      <c r="B160" s="1847"/>
      <c r="C160" s="1880"/>
      <c r="D160" s="1863"/>
      <c r="E160" s="2019" t="s">
        <v>814</v>
      </c>
      <c r="F160" s="1869"/>
      <c r="G160" s="1909"/>
      <c r="H160" s="1915">
        <v>0</v>
      </c>
      <c r="Q160" s="2005" t="str">
        <f t="shared" si="2"/>
        <v/>
      </c>
    </row>
    <row r="161" spans="2:17">
      <c r="B161" s="1847"/>
      <c r="C161" s="1911"/>
      <c r="D161" s="1848" t="s">
        <v>5642</v>
      </c>
      <c r="E161" s="1849" t="s">
        <v>2246</v>
      </c>
      <c r="F161" s="1849"/>
      <c r="G161" s="266"/>
      <c r="H161" s="1879">
        <v>0</v>
      </c>
      <c r="Q161" s="2005" t="str">
        <f t="shared" si="2"/>
        <v/>
      </c>
    </row>
    <row r="162" spans="2:17" ht="13.5" customHeight="1">
      <c r="B162" s="1847"/>
      <c r="C162" s="1922" t="s">
        <v>2161</v>
      </c>
      <c r="D162" s="1977" t="s">
        <v>2154</v>
      </c>
      <c r="E162" s="1977"/>
      <c r="F162" s="1977"/>
      <c r="G162" s="1977"/>
      <c r="H162" s="2026">
        <v>0</v>
      </c>
      <c r="Q162" s="2005" t="str">
        <f t="shared" si="2"/>
        <v/>
      </c>
    </row>
    <row r="163" spans="2:17" ht="27.75" customHeight="1">
      <c r="B163" s="1847"/>
      <c r="C163" s="1880"/>
      <c r="D163" s="1855" t="s">
        <v>2103</v>
      </c>
      <c r="E163" s="1974" t="s">
        <v>2247</v>
      </c>
      <c r="F163" s="1975"/>
      <c r="G163" s="1976"/>
      <c r="H163" s="1858">
        <v>0</v>
      </c>
      <c r="Q163" s="2005" t="str">
        <f t="shared" si="2"/>
        <v/>
      </c>
    </row>
    <row r="164" spans="2:17" ht="27.75" customHeight="1">
      <c r="B164" s="1847"/>
      <c r="C164" s="1880"/>
      <c r="D164" s="1863" t="s">
        <v>544</v>
      </c>
      <c r="E164" s="1978" t="s">
        <v>2248</v>
      </c>
      <c r="F164" s="1979"/>
      <c r="G164" s="1980"/>
      <c r="H164" s="1866">
        <v>0</v>
      </c>
      <c r="Q164" s="2005" t="str">
        <f t="shared" si="2"/>
        <v/>
      </c>
    </row>
    <row r="165" spans="2:17">
      <c r="B165" s="1923" t="s">
        <v>2143</v>
      </c>
      <c r="C165" s="1849" t="s">
        <v>2192</v>
      </c>
      <c r="D165" s="1849"/>
      <c r="E165" s="1849"/>
      <c r="F165" s="1849"/>
      <c r="G165" s="266"/>
      <c r="H165" s="1924"/>
      <c r="Q165" s="2009"/>
    </row>
    <row r="166" spans="2:17">
      <c r="B166" s="1923" t="s">
        <v>2193</v>
      </c>
      <c r="C166" s="1849" t="s">
        <v>1084</v>
      </c>
      <c r="D166" s="1849"/>
      <c r="E166" s="1849"/>
      <c r="F166" s="1849"/>
      <c r="G166" s="1925"/>
      <c r="H166" s="1879">
        <v>0</v>
      </c>
      <c r="Q166" s="2005" t="str">
        <f t="shared" si="2"/>
        <v/>
      </c>
    </row>
    <row r="167" spans="2:17" ht="30.75" customHeight="1">
      <c r="B167" s="2000" t="s">
        <v>131</v>
      </c>
      <c r="C167" s="1982" t="s">
        <v>2249</v>
      </c>
      <c r="D167" s="1983"/>
      <c r="E167" s="1983"/>
      <c r="F167" s="1983"/>
      <c r="G167" s="1983"/>
      <c r="H167" s="2001">
        <v>0</v>
      </c>
      <c r="Q167" s="2005" t="str">
        <f t="shared" si="2"/>
        <v/>
      </c>
    </row>
    <row r="168" spans="2:17">
      <c r="B168" s="1923" t="s">
        <v>133</v>
      </c>
      <c r="C168" s="1849" t="s">
        <v>2194</v>
      </c>
      <c r="D168" s="1849"/>
      <c r="E168" s="1849"/>
      <c r="F168" s="1849"/>
      <c r="G168" s="266"/>
      <c r="H168" s="1879">
        <v>0</v>
      </c>
      <c r="Q168" s="2005" t="str">
        <f t="shared" si="2"/>
        <v/>
      </c>
    </row>
    <row r="169" spans="2:17">
      <c r="B169" s="1923" t="s">
        <v>140</v>
      </c>
      <c r="C169" s="1849" t="s">
        <v>370</v>
      </c>
      <c r="D169" s="1849"/>
      <c r="E169" s="1849"/>
      <c r="F169" s="1849"/>
      <c r="G169" s="266"/>
      <c r="H169" s="1879">
        <v>0</v>
      </c>
      <c r="Q169" s="2005" t="str">
        <f t="shared" si="2"/>
        <v/>
      </c>
    </row>
    <row r="170" spans="2:17">
      <c r="B170" s="1923" t="s">
        <v>142</v>
      </c>
      <c r="C170" s="1849" t="s">
        <v>2195</v>
      </c>
      <c r="D170" s="1849"/>
      <c r="E170" s="1849"/>
      <c r="F170" s="1849"/>
      <c r="G170" s="266"/>
      <c r="H170" s="1879">
        <v>0</v>
      </c>
      <c r="Q170" s="2005" t="str">
        <f t="shared" si="2"/>
        <v/>
      </c>
    </row>
    <row r="171" spans="2:17">
      <c r="B171" s="1923" t="s">
        <v>1705</v>
      </c>
      <c r="C171" s="1849" t="s">
        <v>2144</v>
      </c>
      <c r="D171" s="1849"/>
      <c r="E171" s="1849"/>
      <c r="F171" s="1849"/>
      <c r="G171" s="266"/>
      <c r="H171" s="1879">
        <v>0</v>
      </c>
      <c r="Q171" s="2005" t="str">
        <f t="shared" si="2"/>
        <v/>
      </c>
    </row>
    <row r="172" spans="2:17">
      <c r="B172" s="1926"/>
      <c r="H172" s="1927"/>
      <c r="Q172" s="2009"/>
    </row>
    <row r="173" spans="2:17">
      <c r="B173" s="1953" t="s">
        <v>2250</v>
      </c>
      <c r="C173" s="1954"/>
      <c r="D173" s="1954"/>
      <c r="E173" s="1954"/>
      <c r="F173" s="1981"/>
      <c r="G173" s="914"/>
      <c r="H173" s="1928"/>
      <c r="Q173" s="2005" t="str">
        <f t="shared" si="2"/>
        <v>※</v>
      </c>
    </row>
    <row r="174" spans="2:17">
      <c r="B174" s="1953" t="s">
        <v>2251</v>
      </c>
      <c r="C174" s="1954"/>
      <c r="D174" s="1954"/>
      <c r="E174" s="1954"/>
      <c r="F174" s="1981"/>
      <c r="G174" s="914"/>
      <c r="H174" s="1823"/>
      <c r="Q174" s="2005" t="str">
        <f t="shared" si="2"/>
        <v>※</v>
      </c>
    </row>
    <row r="175" spans="2:17">
      <c r="B175" s="1926"/>
      <c r="H175" s="1927"/>
      <c r="Q175" s="2025"/>
    </row>
    <row r="176" spans="2:17">
      <c r="B176" s="1984" t="s">
        <v>2252</v>
      </c>
      <c r="C176" s="1985"/>
      <c r="D176" s="1985"/>
      <c r="E176" s="1985"/>
      <c r="F176" s="1985"/>
      <c r="G176" s="1986" t="s">
        <v>41</v>
      </c>
      <c r="H176" s="1987" t="s">
        <v>967</v>
      </c>
      <c r="Q176" s="2024"/>
    </row>
    <row r="177" spans="2:17">
      <c r="B177" s="1988">
        <v>1</v>
      </c>
      <c r="C177" s="1989" t="s">
        <v>1963</v>
      </c>
      <c r="D177" s="1989"/>
      <c r="E177" s="1989"/>
      <c r="F177" s="1989"/>
      <c r="G177" s="1990">
        <v>0</v>
      </c>
      <c r="H177" s="1991" t="s">
        <v>1963</v>
      </c>
      <c r="Q177" s="2005" t="str">
        <f>IF(AND(C177&lt;&gt;"",$H177=""),"※","")</f>
        <v/>
      </c>
    </row>
    <row r="178" spans="2:17">
      <c r="B178" s="1992" t="s">
        <v>1963</v>
      </c>
      <c r="C178" s="1993" t="s">
        <v>1963</v>
      </c>
      <c r="D178" s="1993"/>
      <c r="E178" s="1993"/>
      <c r="F178" s="1993"/>
      <c r="G178" s="1994">
        <v>0</v>
      </c>
      <c r="H178" s="1995" t="s">
        <v>1963</v>
      </c>
      <c r="Q178" s="2005" t="str">
        <f t="shared" ref="Q178:Q226" si="3">IF(AND(C178&lt;&gt;"",$H178=""),"※","")</f>
        <v/>
      </c>
    </row>
    <row r="179" spans="2:17">
      <c r="B179" s="1992" t="s">
        <v>1963</v>
      </c>
      <c r="C179" s="1993" t="s">
        <v>1963</v>
      </c>
      <c r="D179" s="1993"/>
      <c r="E179" s="1993"/>
      <c r="F179" s="1993"/>
      <c r="G179" s="1994">
        <v>0</v>
      </c>
      <c r="H179" s="1995" t="s">
        <v>1963</v>
      </c>
      <c r="Q179" s="2005" t="str">
        <f t="shared" si="3"/>
        <v/>
      </c>
    </row>
    <row r="180" spans="2:17">
      <c r="B180" s="1992" t="s">
        <v>1963</v>
      </c>
      <c r="C180" s="1993" t="s">
        <v>1963</v>
      </c>
      <c r="D180" s="1993"/>
      <c r="E180" s="1993"/>
      <c r="F180" s="1993"/>
      <c r="G180" s="1994">
        <v>0</v>
      </c>
      <c r="H180" s="1995" t="s">
        <v>1963</v>
      </c>
      <c r="Q180" s="2005" t="str">
        <f t="shared" si="3"/>
        <v/>
      </c>
    </row>
    <row r="181" spans="2:17">
      <c r="B181" s="1992" t="s">
        <v>1963</v>
      </c>
      <c r="C181" s="1993" t="s">
        <v>1963</v>
      </c>
      <c r="D181" s="1993"/>
      <c r="E181" s="1993"/>
      <c r="F181" s="1993"/>
      <c r="G181" s="1994">
        <v>0</v>
      </c>
      <c r="H181" s="1995" t="s">
        <v>1963</v>
      </c>
      <c r="Q181" s="2005" t="str">
        <f t="shared" si="3"/>
        <v/>
      </c>
    </row>
    <row r="182" spans="2:17">
      <c r="B182" s="1992" t="s">
        <v>1963</v>
      </c>
      <c r="C182" s="1993" t="s">
        <v>1963</v>
      </c>
      <c r="D182" s="1993"/>
      <c r="E182" s="1993"/>
      <c r="F182" s="1993"/>
      <c r="G182" s="1994">
        <v>0</v>
      </c>
      <c r="H182" s="1995" t="s">
        <v>1963</v>
      </c>
      <c r="Q182" s="2005" t="str">
        <f t="shared" si="3"/>
        <v/>
      </c>
    </row>
    <row r="183" spans="2:17">
      <c r="B183" s="1992" t="s">
        <v>1963</v>
      </c>
      <c r="C183" s="1993" t="s">
        <v>1963</v>
      </c>
      <c r="D183" s="1993"/>
      <c r="E183" s="1993"/>
      <c r="F183" s="1993"/>
      <c r="G183" s="1994">
        <v>0</v>
      </c>
      <c r="H183" s="1995" t="s">
        <v>1963</v>
      </c>
      <c r="Q183" s="2005" t="str">
        <f t="shared" si="3"/>
        <v/>
      </c>
    </row>
    <row r="184" spans="2:17">
      <c r="B184" s="1992" t="s">
        <v>1963</v>
      </c>
      <c r="C184" s="1993" t="s">
        <v>1963</v>
      </c>
      <c r="D184" s="1993"/>
      <c r="E184" s="1993"/>
      <c r="F184" s="1993"/>
      <c r="G184" s="1994">
        <v>0</v>
      </c>
      <c r="H184" s="1995" t="s">
        <v>1963</v>
      </c>
      <c r="Q184" s="2005" t="str">
        <f t="shared" si="3"/>
        <v/>
      </c>
    </row>
    <row r="185" spans="2:17">
      <c r="B185" s="1992" t="s">
        <v>1963</v>
      </c>
      <c r="C185" s="1993" t="s">
        <v>1963</v>
      </c>
      <c r="D185" s="1993"/>
      <c r="E185" s="1993"/>
      <c r="F185" s="1993"/>
      <c r="G185" s="1994">
        <v>0</v>
      </c>
      <c r="H185" s="1995" t="s">
        <v>1963</v>
      </c>
      <c r="Q185" s="2005" t="str">
        <f t="shared" si="3"/>
        <v/>
      </c>
    </row>
    <row r="186" spans="2:17">
      <c r="B186" s="1992" t="s">
        <v>1963</v>
      </c>
      <c r="C186" s="1993" t="s">
        <v>1963</v>
      </c>
      <c r="D186" s="1993"/>
      <c r="E186" s="1993"/>
      <c r="F186" s="1993"/>
      <c r="G186" s="1994">
        <v>0</v>
      </c>
      <c r="H186" s="1995" t="s">
        <v>1963</v>
      </c>
      <c r="Q186" s="2005" t="str">
        <f t="shared" si="3"/>
        <v/>
      </c>
    </row>
    <row r="187" spans="2:17">
      <c r="B187" s="1992" t="s">
        <v>1963</v>
      </c>
      <c r="C187" s="1993" t="s">
        <v>1963</v>
      </c>
      <c r="D187" s="1993"/>
      <c r="E187" s="1993"/>
      <c r="F187" s="1993"/>
      <c r="G187" s="1994">
        <v>0</v>
      </c>
      <c r="H187" s="1995" t="s">
        <v>1963</v>
      </c>
      <c r="Q187" s="2005" t="str">
        <f t="shared" si="3"/>
        <v/>
      </c>
    </row>
    <row r="188" spans="2:17">
      <c r="B188" s="1992" t="s">
        <v>1963</v>
      </c>
      <c r="C188" s="1993" t="s">
        <v>1963</v>
      </c>
      <c r="D188" s="1993"/>
      <c r="E188" s="1993"/>
      <c r="F188" s="1993"/>
      <c r="G188" s="1994">
        <v>0</v>
      </c>
      <c r="H188" s="1995" t="s">
        <v>1963</v>
      </c>
      <c r="Q188" s="2005" t="str">
        <f t="shared" si="3"/>
        <v/>
      </c>
    </row>
    <row r="189" spans="2:17">
      <c r="B189" s="1992" t="s">
        <v>1963</v>
      </c>
      <c r="C189" s="1993" t="s">
        <v>1963</v>
      </c>
      <c r="D189" s="1993"/>
      <c r="E189" s="1993"/>
      <c r="F189" s="1993"/>
      <c r="G189" s="1994">
        <v>0</v>
      </c>
      <c r="H189" s="1995" t="s">
        <v>1963</v>
      </c>
      <c r="Q189" s="2005" t="str">
        <f t="shared" si="3"/>
        <v/>
      </c>
    </row>
    <row r="190" spans="2:17">
      <c r="B190" s="1992" t="s">
        <v>1963</v>
      </c>
      <c r="C190" s="1993" t="s">
        <v>1963</v>
      </c>
      <c r="D190" s="1993"/>
      <c r="E190" s="1993"/>
      <c r="F190" s="1993"/>
      <c r="G190" s="1994">
        <v>0</v>
      </c>
      <c r="H190" s="1995" t="s">
        <v>1963</v>
      </c>
      <c r="Q190" s="2005" t="str">
        <f t="shared" si="3"/>
        <v/>
      </c>
    </row>
    <row r="191" spans="2:17">
      <c r="B191" s="1992" t="s">
        <v>1963</v>
      </c>
      <c r="C191" s="1993" t="s">
        <v>1963</v>
      </c>
      <c r="D191" s="1993"/>
      <c r="E191" s="1993"/>
      <c r="F191" s="1993"/>
      <c r="G191" s="1994">
        <v>0</v>
      </c>
      <c r="H191" s="1995" t="s">
        <v>1963</v>
      </c>
      <c r="Q191" s="2005" t="str">
        <f t="shared" si="3"/>
        <v/>
      </c>
    </row>
    <row r="192" spans="2:17">
      <c r="B192" s="1992" t="s">
        <v>1963</v>
      </c>
      <c r="C192" s="1993" t="s">
        <v>1963</v>
      </c>
      <c r="D192" s="1993"/>
      <c r="E192" s="1993"/>
      <c r="F192" s="1993"/>
      <c r="G192" s="1994">
        <v>0</v>
      </c>
      <c r="H192" s="1995" t="s">
        <v>1963</v>
      </c>
      <c r="Q192" s="2005" t="str">
        <f t="shared" si="3"/>
        <v/>
      </c>
    </row>
    <row r="193" spans="2:17">
      <c r="B193" s="1992" t="s">
        <v>1963</v>
      </c>
      <c r="C193" s="1993" t="s">
        <v>1963</v>
      </c>
      <c r="D193" s="1993"/>
      <c r="E193" s="1993"/>
      <c r="F193" s="1993"/>
      <c r="G193" s="1994">
        <v>0</v>
      </c>
      <c r="H193" s="1995" t="s">
        <v>1963</v>
      </c>
      <c r="Q193" s="2005" t="str">
        <f t="shared" si="3"/>
        <v/>
      </c>
    </row>
    <row r="194" spans="2:17">
      <c r="B194" s="1992" t="s">
        <v>1963</v>
      </c>
      <c r="C194" s="1993" t="s">
        <v>1963</v>
      </c>
      <c r="D194" s="1993"/>
      <c r="E194" s="1993"/>
      <c r="F194" s="1993"/>
      <c r="G194" s="1994">
        <v>0</v>
      </c>
      <c r="H194" s="1995" t="s">
        <v>1963</v>
      </c>
      <c r="Q194" s="2005" t="str">
        <f t="shared" si="3"/>
        <v/>
      </c>
    </row>
    <row r="195" spans="2:17">
      <c r="B195" s="1992" t="s">
        <v>1963</v>
      </c>
      <c r="C195" s="1993" t="s">
        <v>1963</v>
      </c>
      <c r="D195" s="1993"/>
      <c r="E195" s="1993"/>
      <c r="F195" s="1993"/>
      <c r="G195" s="1994">
        <v>0</v>
      </c>
      <c r="H195" s="1995" t="s">
        <v>1963</v>
      </c>
      <c r="Q195" s="2005" t="str">
        <f t="shared" si="3"/>
        <v/>
      </c>
    </row>
    <row r="196" spans="2:17">
      <c r="B196" s="1992" t="s">
        <v>1963</v>
      </c>
      <c r="C196" s="1993" t="s">
        <v>1963</v>
      </c>
      <c r="D196" s="1993"/>
      <c r="E196" s="1993"/>
      <c r="F196" s="1993"/>
      <c r="G196" s="1994">
        <v>0</v>
      </c>
      <c r="H196" s="1995" t="s">
        <v>1963</v>
      </c>
      <c r="Q196" s="2005" t="str">
        <f t="shared" si="3"/>
        <v/>
      </c>
    </row>
    <row r="197" spans="2:17">
      <c r="B197" s="1992" t="s">
        <v>1963</v>
      </c>
      <c r="C197" s="1993" t="s">
        <v>1963</v>
      </c>
      <c r="D197" s="1993"/>
      <c r="E197" s="1993"/>
      <c r="F197" s="1993"/>
      <c r="G197" s="1994">
        <v>0</v>
      </c>
      <c r="H197" s="1995" t="s">
        <v>1963</v>
      </c>
      <c r="Q197" s="2005" t="str">
        <f t="shared" si="3"/>
        <v/>
      </c>
    </row>
    <row r="198" spans="2:17">
      <c r="B198" s="1992" t="s">
        <v>1963</v>
      </c>
      <c r="C198" s="1993" t="s">
        <v>1963</v>
      </c>
      <c r="D198" s="1993"/>
      <c r="E198" s="1993"/>
      <c r="F198" s="1993"/>
      <c r="G198" s="1994">
        <v>0</v>
      </c>
      <c r="H198" s="1995" t="s">
        <v>1963</v>
      </c>
      <c r="Q198" s="2005" t="str">
        <f t="shared" si="3"/>
        <v/>
      </c>
    </row>
    <row r="199" spans="2:17">
      <c r="B199" s="1992" t="s">
        <v>1963</v>
      </c>
      <c r="C199" s="1993" t="s">
        <v>1963</v>
      </c>
      <c r="D199" s="1993"/>
      <c r="E199" s="1993"/>
      <c r="F199" s="1993"/>
      <c r="G199" s="1994">
        <v>0</v>
      </c>
      <c r="H199" s="1995" t="s">
        <v>1963</v>
      </c>
      <c r="Q199" s="2005" t="str">
        <f t="shared" si="3"/>
        <v/>
      </c>
    </row>
    <row r="200" spans="2:17">
      <c r="B200" s="1992" t="s">
        <v>1963</v>
      </c>
      <c r="C200" s="1993" t="s">
        <v>1963</v>
      </c>
      <c r="D200" s="1993"/>
      <c r="E200" s="1993"/>
      <c r="F200" s="1993"/>
      <c r="G200" s="1994">
        <v>0</v>
      </c>
      <c r="H200" s="1995" t="s">
        <v>1963</v>
      </c>
      <c r="Q200" s="2005" t="str">
        <f t="shared" si="3"/>
        <v/>
      </c>
    </row>
    <row r="201" spans="2:17">
      <c r="B201" s="1992" t="s">
        <v>1963</v>
      </c>
      <c r="C201" s="1993" t="s">
        <v>1963</v>
      </c>
      <c r="D201" s="1993"/>
      <c r="E201" s="1993"/>
      <c r="F201" s="1993"/>
      <c r="G201" s="1994">
        <v>0</v>
      </c>
      <c r="H201" s="1995" t="s">
        <v>1963</v>
      </c>
      <c r="Q201" s="2005" t="str">
        <f t="shared" si="3"/>
        <v/>
      </c>
    </row>
    <row r="202" spans="2:17">
      <c r="B202" s="1992" t="s">
        <v>1963</v>
      </c>
      <c r="C202" s="1993" t="s">
        <v>1963</v>
      </c>
      <c r="D202" s="1993"/>
      <c r="E202" s="1993"/>
      <c r="F202" s="1993"/>
      <c r="G202" s="1994">
        <v>0</v>
      </c>
      <c r="H202" s="1995" t="s">
        <v>1963</v>
      </c>
      <c r="Q202" s="2005" t="str">
        <f t="shared" si="3"/>
        <v/>
      </c>
    </row>
    <row r="203" spans="2:17">
      <c r="B203" s="1992" t="s">
        <v>1963</v>
      </c>
      <c r="C203" s="1993" t="s">
        <v>1963</v>
      </c>
      <c r="D203" s="1993"/>
      <c r="E203" s="1993"/>
      <c r="F203" s="1993"/>
      <c r="G203" s="1994">
        <v>0</v>
      </c>
      <c r="H203" s="1995" t="s">
        <v>1963</v>
      </c>
      <c r="Q203" s="2005" t="str">
        <f t="shared" si="3"/>
        <v/>
      </c>
    </row>
    <row r="204" spans="2:17">
      <c r="B204" s="1992" t="s">
        <v>1963</v>
      </c>
      <c r="C204" s="1993" t="s">
        <v>1963</v>
      </c>
      <c r="D204" s="1993"/>
      <c r="E204" s="1993"/>
      <c r="F204" s="1993"/>
      <c r="G204" s="1994">
        <v>0</v>
      </c>
      <c r="H204" s="1995" t="s">
        <v>1963</v>
      </c>
      <c r="Q204" s="2005" t="str">
        <f t="shared" si="3"/>
        <v/>
      </c>
    </row>
    <row r="205" spans="2:17">
      <c r="B205" s="1992" t="s">
        <v>1963</v>
      </c>
      <c r="C205" s="1993" t="s">
        <v>1963</v>
      </c>
      <c r="D205" s="1993"/>
      <c r="E205" s="1993"/>
      <c r="F205" s="1993"/>
      <c r="G205" s="1994">
        <v>0</v>
      </c>
      <c r="H205" s="1995" t="s">
        <v>1963</v>
      </c>
      <c r="Q205" s="2005" t="str">
        <f t="shared" si="3"/>
        <v/>
      </c>
    </row>
    <row r="206" spans="2:17">
      <c r="B206" s="1992" t="s">
        <v>1963</v>
      </c>
      <c r="C206" s="1993" t="s">
        <v>1963</v>
      </c>
      <c r="D206" s="1993"/>
      <c r="E206" s="1993"/>
      <c r="F206" s="1993"/>
      <c r="G206" s="1994">
        <v>0</v>
      </c>
      <c r="H206" s="1995" t="s">
        <v>1963</v>
      </c>
      <c r="Q206" s="2005" t="str">
        <f t="shared" si="3"/>
        <v/>
      </c>
    </row>
    <row r="207" spans="2:17">
      <c r="B207" s="1992" t="s">
        <v>1963</v>
      </c>
      <c r="C207" s="1993" t="s">
        <v>1963</v>
      </c>
      <c r="D207" s="1993"/>
      <c r="E207" s="1993"/>
      <c r="F207" s="1993"/>
      <c r="G207" s="1994">
        <v>0</v>
      </c>
      <c r="H207" s="1995" t="s">
        <v>1963</v>
      </c>
      <c r="Q207" s="2005" t="str">
        <f t="shared" si="3"/>
        <v/>
      </c>
    </row>
    <row r="208" spans="2:17">
      <c r="B208" s="1992" t="s">
        <v>1963</v>
      </c>
      <c r="C208" s="1993" t="s">
        <v>1963</v>
      </c>
      <c r="D208" s="1993"/>
      <c r="E208" s="1993"/>
      <c r="F208" s="1993"/>
      <c r="G208" s="1994">
        <v>0</v>
      </c>
      <c r="H208" s="1995" t="s">
        <v>1963</v>
      </c>
      <c r="Q208" s="2005" t="str">
        <f t="shared" si="3"/>
        <v/>
      </c>
    </row>
    <row r="209" spans="2:17">
      <c r="B209" s="1992" t="s">
        <v>1963</v>
      </c>
      <c r="C209" s="1993" t="s">
        <v>1963</v>
      </c>
      <c r="D209" s="1993"/>
      <c r="E209" s="1993"/>
      <c r="F209" s="1993"/>
      <c r="G209" s="1994">
        <v>0</v>
      </c>
      <c r="H209" s="1995" t="s">
        <v>1963</v>
      </c>
      <c r="Q209" s="2005" t="str">
        <f t="shared" si="3"/>
        <v/>
      </c>
    </row>
    <row r="210" spans="2:17">
      <c r="B210" s="1992" t="s">
        <v>1963</v>
      </c>
      <c r="C210" s="1993" t="s">
        <v>1963</v>
      </c>
      <c r="D210" s="1993"/>
      <c r="E210" s="1993"/>
      <c r="F210" s="1993"/>
      <c r="G210" s="1994">
        <v>0</v>
      </c>
      <c r="H210" s="1995" t="s">
        <v>1963</v>
      </c>
      <c r="Q210" s="2005" t="str">
        <f t="shared" si="3"/>
        <v/>
      </c>
    </row>
    <row r="211" spans="2:17">
      <c r="B211" s="1992" t="s">
        <v>1963</v>
      </c>
      <c r="C211" s="1993" t="s">
        <v>1963</v>
      </c>
      <c r="D211" s="1993"/>
      <c r="E211" s="1993"/>
      <c r="F211" s="1993"/>
      <c r="G211" s="1994">
        <v>0</v>
      </c>
      <c r="H211" s="1995" t="s">
        <v>1963</v>
      </c>
      <c r="Q211" s="2005" t="str">
        <f t="shared" si="3"/>
        <v/>
      </c>
    </row>
    <row r="212" spans="2:17">
      <c r="B212" s="1992" t="s">
        <v>1963</v>
      </c>
      <c r="C212" s="1993" t="s">
        <v>1963</v>
      </c>
      <c r="D212" s="1993"/>
      <c r="E212" s="1993"/>
      <c r="F212" s="1993"/>
      <c r="G212" s="1994">
        <v>0</v>
      </c>
      <c r="H212" s="1995" t="s">
        <v>1963</v>
      </c>
      <c r="Q212" s="2005" t="str">
        <f t="shared" si="3"/>
        <v/>
      </c>
    </row>
    <row r="213" spans="2:17">
      <c r="B213" s="1992" t="s">
        <v>1963</v>
      </c>
      <c r="C213" s="1993" t="s">
        <v>1963</v>
      </c>
      <c r="D213" s="1993"/>
      <c r="E213" s="1993"/>
      <c r="F213" s="1993"/>
      <c r="G213" s="1994">
        <v>0</v>
      </c>
      <c r="H213" s="1995" t="s">
        <v>1963</v>
      </c>
      <c r="Q213" s="2005" t="str">
        <f t="shared" si="3"/>
        <v/>
      </c>
    </row>
    <row r="214" spans="2:17">
      <c r="B214" s="1992" t="s">
        <v>1963</v>
      </c>
      <c r="C214" s="1993" t="s">
        <v>1963</v>
      </c>
      <c r="D214" s="1993"/>
      <c r="E214" s="1993"/>
      <c r="F214" s="1993"/>
      <c r="G214" s="1994">
        <v>0</v>
      </c>
      <c r="H214" s="1995" t="s">
        <v>1963</v>
      </c>
      <c r="Q214" s="2005" t="str">
        <f t="shared" si="3"/>
        <v/>
      </c>
    </row>
    <row r="215" spans="2:17">
      <c r="B215" s="1992" t="s">
        <v>1963</v>
      </c>
      <c r="C215" s="1993" t="s">
        <v>1963</v>
      </c>
      <c r="D215" s="1993"/>
      <c r="E215" s="1993"/>
      <c r="F215" s="1993"/>
      <c r="G215" s="1994">
        <v>0</v>
      </c>
      <c r="H215" s="1995" t="s">
        <v>1963</v>
      </c>
      <c r="Q215" s="2005" t="str">
        <f t="shared" si="3"/>
        <v/>
      </c>
    </row>
    <row r="216" spans="2:17">
      <c r="B216" s="1992" t="s">
        <v>1963</v>
      </c>
      <c r="C216" s="1993" t="s">
        <v>1963</v>
      </c>
      <c r="D216" s="1993"/>
      <c r="E216" s="1993"/>
      <c r="F216" s="1993"/>
      <c r="G216" s="1994">
        <v>0</v>
      </c>
      <c r="H216" s="1995" t="s">
        <v>1963</v>
      </c>
      <c r="Q216" s="2005" t="str">
        <f t="shared" si="3"/>
        <v/>
      </c>
    </row>
    <row r="217" spans="2:17">
      <c r="B217" s="1992" t="s">
        <v>1963</v>
      </c>
      <c r="C217" s="1993" t="s">
        <v>1963</v>
      </c>
      <c r="D217" s="1993"/>
      <c r="E217" s="1993"/>
      <c r="F217" s="1993"/>
      <c r="G217" s="1994">
        <v>0</v>
      </c>
      <c r="H217" s="1995" t="s">
        <v>1963</v>
      </c>
      <c r="Q217" s="2005" t="str">
        <f t="shared" si="3"/>
        <v/>
      </c>
    </row>
    <row r="218" spans="2:17">
      <c r="B218" s="1992" t="s">
        <v>1963</v>
      </c>
      <c r="C218" s="1993" t="s">
        <v>1963</v>
      </c>
      <c r="D218" s="1993"/>
      <c r="E218" s="1993"/>
      <c r="F218" s="1993"/>
      <c r="G218" s="1994">
        <v>0</v>
      </c>
      <c r="H218" s="1995" t="s">
        <v>1963</v>
      </c>
      <c r="Q218" s="2005" t="str">
        <f t="shared" si="3"/>
        <v/>
      </c>
    </row>
    <row r="219" spans="2:17">
      <c r="B219" s="1992" t="s">
        <v>1963</v>
      </c>
      <c r="C219" s="1993" t="s">
        <v>1963</v>
      </c>
      <c r="D219" s="1993"/>
      <c r="E219" s="1993"/>
      <c r="F219" s="1993"/>
      <c r="G219" s="1994">
        <v>0</v>
      </c>
      <c r="H219" s="1995" t="s">
        <v>1963</v>
      </c>
      <c r="Q219" s="2005" t="str">
        <f t="shared" si="3"/>
        <v/>
      </c>
    </row>
    <row r="220" spans="2:17">
      <c r="B220" s="1992" t="s">
        <v>1963</v>
      </c>
      <c r="C220" s="1993" t="s">
        <v>1963</v>
      </c>
      <c r="D220" s="1993"/>
      <c r="E220" s="1993"/>
      <c r="F220" s="1993"/>
      <c r="G220" s="1994">
        <v>0</v>
      </c>
      <c r="H220" s="1995" t="s">
        <v>1963</v>
      </c>
      <c r="Q220" s="2005" t="str">
        <f t="shared" si="3"/>
        <v/>
      </c>
    </row>
    <row r="221" spans="2:17">
      <c r="B221" s="1992" t="s">
        <v>1963</v>
      </c>
      <c r="C221" s="1993" t="s">
        <v>1963</v>
      </c>
      <c r="D221" s="1993"/>
      <c r="E221" s="1993"/>
      <c r="F221" s="1993"/>
      <c r="G221" s="1994">
        <v>0</v>
      </c>
      <c r="H221" s="1995" t="s">
        <v>1963</v>
      </c>
      <c r="Q221" s="2005" t="str">
        <f t="shared" si="3"/>
        <v/>
      </c>
    </row>
    <row r="222" spans="2:17">
      <c r="B222" s="1992" t="s">
        <v>1963</v>
      </c>
      <c r="C222" s="1993" t="s">
        <v>1963</v>
      </c>
      <c r="D222" s="1993"/>
      <c r="E222" s="1993"/>
      <c r="F222" s="1993"/>
      <c r="G222" s="1994">
        <v>0</v>
      </c>
      <c r="H222" s="1995" t="s">
        <v>1963</v>
      </c>
      <c r="Q222" s="2005" t="str">
        <f t="shared" si="3"/>
        <v/>
      </c>
    </row>
    <row r="223" spans="2:17">
      <c r="B223" s="1992" t="s">
        <v>1963</v>
      </c>
      <c r="C223" s="1993" t="s">
        <v>1963</v>
      </c>
      <c r="D223" s="1993"/>
      <c r="E223" s="1993"/>
      <c r="F223" s="1993"/>
      <c r="G223" s="1994">
        <v>0</v>
      </c>
      <c r="H223" s="1995" t="s">
        <v>1963</v>
      </c>
      <c r="Q223" s="2005" t="str">
        <f t="shared" si="3"/>
        <v/>
      </c>
    </row>
    <row r="224" spans="2:17">
      <c r="B224" s="1992" t="s">
        <v>1963</v>
      </c>
      <c r="C224" s="1993" t="s">
        <v>1963</v>
      </c>
      <c r="D224" s="1993"/>
      <c r="E224" s="1993"/>
      <c r="F224" s="1993"/>
      <c r="G224" s="1994">
        <v>0</v>
      </c>
      <c r="H224" s="1995" t="s">
        <v>1963</v>
      </c>
      <c r="Q224" s="2005" t="str">
        <f t="shared" si="3"/>
        <v/>
      </c>
    </row>
    <row r="225" spans="2:17">
      <c r="B225" s="1992" t="s">
        <v>1963</v>
      </c>
      <c r="C225" s="1993" t="s">
        <v>1963</v>
      </c>
      <c r="D225" s="1993"/>
      <c r="E225" s="1993"/>
      <c r="F225" s="1993"/>
      <c r="G225" s="1994">
        <v>0</v>
      </c>
      <c r="H225" s="1995" t="s">
        <v>1963</v>
      </c>
      <c r="Q225" s="2005" t="str">
        <f t="shared" si="3"/>
        <v/>
      </c>
    </row>
    <row r="226" spans="2:17" ht="14.25" thickBot="1">
      <c r="B226" s="1996" t="s">
        <v>1963</v>
      </c>
      <c r="C226" s="1997" t="s">
        <v>1963</v>
      </c>
      <c r="D226" s="1997"/>
      <c r="E226" s="1997"/>
      <c r="F226" s="1997"/>
      <c r="G226" s="1998">
        <v>0</v>
      </c>
      <c r="H226" s="1999" t="s">
        <v>1963</v>
      </c>
      <c r="Q226" s="2005" t="str">
        <f t="shared" si="3"/>
        <v/>
      </c>
    </row>
    <row r="227" spans="2:17" ht="14.25" thickTop="1">
      <c r="B227" s="1929"/>
      <c r="C227" s="1929"/>
      <c r="D227" s="1929"/>
      <c r="E227" s="1929"/>
      <c r="F227" s="1929"/>
      <c r="G227" s="1929"/>
      <c r="H227" s="1929"/>
    </row>
  </sheetData>
  <mergeCells count="1">
    <mergeCell ref="B3:H7"/>
  </mergeCells>
  <phoneticPr fontId="5"/>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99CCFF"/>
  </sheetPr>
  <dimension ref="A1:AP350"/>
  <sheetViews>
    <sheetView showGridLines="0" zoomScale="70" zoomScaleNormal="70" zoomScaleSheetLayoutView="80" workbookViewId="0">
      <selection activeCell="I23" sqref="I23"/>
    </sheetView>
  </sheetViews>
  <sheetFormatPr defaultRowHeight="14.25"/>
  <cols>
    <col min="1" max="1" width="4.375" style="275" customWidth="1"/>
    <col min="2" max="2" width="16.25" style="225" customWidth="1"/>
    <col min="3" max="3" width="14.625" style="226" customWidth="1"/>
    <col min="4" max="8" width="12.875" style="226" customWidth="1"/>
    <col min="9" max="9" width="43.125" style="227" customWidth="1"/>
    <col min="10" max="10" width="4.375" style="368" customWidth="1"/>
    <col min="11" max="12" width="3.75" style="368" customWidth="1"/>
    <col min="13" max="16" width="14.125" style="368" customWidth="1"/>
    <col min="17" max="17" width="29.75" style="368" customWidth="1"/>
    <col min="18" max="20" width="9.125" style="226" hidden="1" customWidth="1"/>
    <col min="21" max="24" width="9" style="226" hidden="1" customWidth="1"/>
    <col min="25" max="25" width="0" style="226" hidden="1" customWidth="1"/>
    <col min="26" max="26" width="0" style="1711" hidden="1" customWidth="1"/>
    <col min="27" max="27" width="0" style="1774" hidden="1" customWidth="1"/>
    <col min="28" max="28" width="29" style="1774" hidden="1" customWidth="1"/>
    <col min="29" max="35" width="0" style="1774" hidden="1" customWidth="1"/>
    <col min="36" max="37" width="0" style="1711" hidden="1" customWidth="1"/>
    <col min="38" max="39" width="9" style="226"/>
    <col min="40" max="40" width="33" style="226" bestFit="1" customWidth="1"/>
    <col min="41" max="41" width="15.125" style="226" bestFit="1" customWidth="1"/>
    <col min="42" max="42" width="19.25" style="226" customWidth="1"/>
    <col min="43" max="16384" width="9" style="226"/>
  </cols>
  <sheetData>
    <row r="1" spans="1:37" ht="21.75" customHeight="1">
      <c r="A1" s="354" t="s">
        <v>761</v>
      </c>
      <c r="F1" s="2687" t="s">
        <v>2145</v>
      </c>
      <c r="G1" s="2687"/>
      <c r="H1" s="2687"/>
      <c r="I1" s="2687"/>
      <c r="R1" s="580" t="s">
        <v>422</v>
      </c>
      <c r="S1" s="547"/>
      <c r="T1" s="547"/>
      <c r="U1" s="547"/>
      <c r="V1" s="547"/>
      <c r="W1" s="1701"/>
      <c r="AA1" s="1711"/>
      <c r="AB1" s="1711"/>
      <c r="AC1" s="1711"/>
      <c r="AD1" s="1711"/>
      <c r="AE1" s="1711"/>
      <c r="AF1" s="1711"/>
      <c r="AG1" s="1711"/>
      <c r="AH1" s="1711"/>
      <c r="AI1" s="1711"/>
    </row>
    <row r="2" spans="1:37" ht="27" customHeight="1">
      <c r="A2" s="274" t="s">
        <v>1076</v>
      </c>
      <c r="F2" s="2687"/>
      <c r="G2" s="2687"/>
      <c r="H2" s="2687"/>
      <c r="I2" s="2687"/>
      <c r="R2" s="226">
        <v>0</v>
      </c>
      <c r="S2" s="226" t="s">
        <v>663</v>
      </c>
      <c r="Z2" s="1036"/>
      <c r="AA2" s="2680" t="s">
        <v>1930</v>
      </c>
      <c r="AB2" s="2680"/>
      <c r="AC2" s="2681" t="s">
        <v>1931</v>
      </c>
      <c r="AD2" s="2682"/>
      <c r="AE2" s="2683"/>
      <c r="AF2" s="2684" t="s">
        <v>1932</v>
      </c>
      <c r="AG2" s="2684"/>
      <c r="AH2" s="2684"/>
      <c r="AI2" s="2685"/>
      <c r="AJ2" s="1036"/>
      <c r="AK2" s="1036"/>
    </row>
    <row r="3" spans="1:37" ht="5.25" customHeight="1">
      <c r="F3" s="2687"/>
      <c r="G3" s="2687"/>
      <c r="H3" s="2687"/>
      <c r="I3" s="2687"/>
      <c r="Z3" s="1036"/>
      <c r="AA3" s="2680"/>
      <c r="AB3" s="2680"/>
      <c r="AC3" s="1712" t="s">
        <v>1933</v>
      </c>
      <c r="AD3" s="1713" t="s">
        <v>1934</v>
      </c>
      <c r="AE3" s="1714" t="s">
        <v>1935</v>
      </c>
      <c r="AF3" s="1715" t="s">
        <v>1933</v>
      </c>
      <c r="AG3" s="1716" t="s">
        <v>1936</v>
      </c>
      <c r="AH3" s="1717" t="s">
        <v>1934</v>
      </c>
      <c r="AI3" s="1718" t="s">
        <v>1935</v>
      </c>
      <c r="AJ3" s="1036"/>
      <c r="AK3" s="1036"/>
    </row>
    <row r="4" spans="1:37" ht="6.75" customHeight="1">
      <c r="A4" s="274"/>
      <c r="B4" s="1947"/>
      <c r="C4" s="1948"/>
      <c r="D4" s="225"/>
      <c r="F4" s="2687"/>
      <c r="G4" s="2687"/>
      <c r="H4" s="2687"/>
      <c r="I4" s="2687"/>
      <c r="Z4" s="1036">
        <v>1</v>
      </c>
      <c r="AA4" s="1719" t="s">
        <v>765</v>
      </c>
      <c r="AB4" s="1720"/>
      <c r="AC4" s="1721" t="s">
        <v>1937</v>
      </c>
      <c r="AD4" s="1721">
        <v>21</v>
      </c>
      <c r="AE4" s="1722">
        <v>6</v>
      </c>
      <c r="AF4" s="1723" t="s">
        <v>1938</v>
      </c>
      <c r="AG4" s="1724" t="str">
        <f t="shared" ref="AG4:AG70" si="0">VLOOKUP(AI4,$AJ$4:$AK$29,2,0) &amp; AH4</f>
        <v>K249</v>
      </c>
      <c r="AH4" s="1725">
        <v>249</v>
      </c>
      <c r="AI4" s="1726">
        <v>11</v>
      </c>
      <c r="AJ4" s="1036">
        <v>1</v>
      </c>
      <c r="AK4" s="1036" t="s">
        <v>1553</v>
      </c>
    </row>
    <row r="5" spans="1:37" ht="9" customHeight="1">
      <c r="A5" s="274"/>
      <c r="Z5" s="1036">
        <f t="shared" ref="Z5:Z71" si="1">Z4+1</f>
        <v>2</v>
      </c>
      <c r="AA5" s="1719" t="s">
        <v>419</v>
      </c>
      <c r="AB5" s="1720"/>
      <c r="AC5" s="1721" t="s">
        <v>1939</v>
      </c>
      <c r="AD5" s="1721">
        <v>22</v>
      </c>
      <c r="AE5" s="1722">
        <v>6</v>
      </c>
      <c r="AF5" s="1723" t="s">
        <v>1938</v>
      </c>
      <c r="AG5" s="1724" t="str">
        <f t="shared" si="0"/>
        <v>K248</v>
      </c>
      <c r="AH5" s="1725">
        <v>248</v>
      </c>
      <c r="AI5" s="1726">
        <v>11</v>
      </c>
      <c r="AJ5" s="1036">
        <v>2</v>
      </c>
      <c r="AK5" s="1036" t="s">
        <v>1940</v>
      </c>
    </row>
    <row r="6" spans="1:37" ht="17.25">
      <c r="A6" s="1957" t="s">
        <v>2153</v>
      </c>
      <c r="B6" s="1956"/>
      <c r="C6" s="270"/>
      <c r="D6" s="270"/>
      <c r="Z6" s="1036">
        <f t="shared" si="1"/>
        <v>3</v>
      </c>
      <c r="AA6" s="1719" t="s">
        <v>1941</v>
      </c>
      <c r="AB6" s="1720"/>
      <c r="AC6" s="1721" t="s">
        <v>1939</v>
      </c>
      <c r="AD6" s="1721">
        <v>23</v>
      </c>
      <c r="AE6" s="1722">
        <v>6</v>
      </c>
      <c r="AF6" s="1723" t="s">
        <v>1938</v>
      </c>
      <c r="AG6" s="1724" t="str">
        <f t="shared" si="0"/>
        <v>K8</v>
      </c>
      <c r="AH6" s="1725">
        <v>8</v>
      </c>
      <c r="AI6" s="1726">
        <v>11</v>
      </c>
      <c r="AJ6" s="1036">
        <v>3</v>
      </c>
      <c r="AK6" s="1036" t="s">
        <v>1942</v>
      </c>
    </row>
    <row r="7" spans="1:37" ht="9" customHeight="1">
      <c r="B7" s="228"/>
      <c r="C7" s="568"/>
      <c r="D7" s="568"/>
      <c r="Z7" s="1036">
        <f t="shared" si="1"/>
        <v>4</v>
      </c>
      <c r="AA7" s="1719" t="s">
        <v>1943</v>
      </c>
      <c r="AB7" s="1720"/>
      <c r="AC7" s="1721" t="s">
        <v>1939</v>
      </c>
      <c r="AD7" s="1721">
        <v>24</v>
      </c>
      <c r="AE7" s="1722">
        <v>6</v>
      </c>
      <c r="AF7" s="1723" t="s">
        <v>1938</v>
      </c>
      <c r="AG7" s="1724" t="str">
        <f t="shared" si="0"/>
        <v>K9</v>
      </c>
      <c r="AH7" s="1725">
        <v>9</v>
      </c>
      <c r="AI7" s="1726">
        <v>11</v>
      </c>
      <c r="AJ7" s="1036">
        <v>4</v>
      </c>
      <c r="AK7" s="1036" t="s">
        <v>1944</v>
      </c>
    </row>
    <row r="8" spans="1:37" ht="9" customHeight="1">
      <c r="B8" s="228"/>
      <c r="C8" s="568"/>
      <c r="D8" s="568"/>
      <c r="Z8" s="1036">
        <f t="shared" si="1"/>
        <v>5</v>
      </c>
      <c r="AA8" s="1719" t="s">
        <v>762</v>
      </c>
      <c r="AB8" s="1720"/>
      <c r="AC8" s="1727" t="s">
        <v>1939</v>
      </c>
      <c r="AD8" s="1727">
        <v>25</v>
      </c>
      <c r="AE8" s="1728">
        <v>6</v>
      </c>
      <c r="AF8" s="1729" t="s">
        <v>1938</v>
      </c>
      <c r="AG8" s="1730" t="str">
        <f t="shared" si="0"/>
        <v>A2</v>
      </c>
      <c r="AH8" s="1731">
        <v>2</v>
      </c>
      <c r="AI8" s="1732">
        <v>1</v>
      </c>
      <c r="AJ8" s="1036">
        <v>5</v>
      </c>
      <c r="AK8" s="1036" t="s">
        <v>1945</v>
      </c>
    </row>
    <row r="9" spans="1:37" ht="9" customHeight="1">
      <c r="B9" s="228"/>
      <c r="C9" s="229"/>
      <c r="Z9" s="1036">
        <f t="shared" si="1"/>
        <v>6</v>
      </c>
      <c r="AA9" s="1719" t="s">
        <v>1946</v>
      </c>
      <c r="AB9" s="1733"/>
      <c r="AC9" s="1721" t="s">
        <v>1939</v>
      </c>
      <c r="AD9" s="1721">
        <v>26</v>
      </c>
      <c r="AE9" s="1722">
        <v>6</v>
      </c>
      <c r="AF9" s="1723" t="s">
        <v>1938</v>
      </c>
      <c r="AG9" s="1734" t="str">
        <f t="shared" si="0"/>
        <v>K10</v>
      </c>
      <c r="AH9" s="1725">
        <v>10</v>
      </c>
      <c r="AI9" s="1726">
        <v>11</v>
      </c>
      <c r="AJ9" s="1036">
        <v>6</v>
      </c>
      <c r="AK9" s="1036" t="s">
        <v>1947</v>
      </c>
    </row>
    <row r="10" spans="1:37" ht="21.75" customHeight="1">
      <c r="A10" s="274"/>
      <c r="B10" s="228"/>
      <c r="C10" s="229"/>
      <c r="F10" s="361" t="s">
        <v>486</v>
      </c>
      <c r="G10" s="2659" t="s">
        <v>793</v>
      </c>
      <c r="H10" s="2670"/>
      <c r="I10" s="2660"/>
      <c r="J10" s="369"/>
      <c r="K10" s="369"/>
      <c r="L10" s="369"/>
      <c r="M10" s="369"/>
      <c r="N10" s="369"/>
      <c r="O10" s="369"/>
      <c r="P10" s="369"/>
      <c r="Q10" s="369"/>
      <c r="U10" s="366"/>
      <c r="V10" s="366"/>
      <c r="Z10" s="1036">
        <f t="shared" si="1"/>
        <v>7</v>
      </c>
      <c r="AA10" s="1719" t="s">
        <v>952</v>
      </c>
      <c r="AB10" s="1733"/>
      <c r="AC10" s="1721" t="s">
        <v>1939</v>
      </c>
      <c r="AD10" s="1721">
        <v>27</v>
      </c>
      <c r="AE10" s="1722">
        <v>6</v>
      </c>
      <c r="AF10" s="1723" t="s">
        <v>1938</v>
      </c>
      <c r="AG10" s="1734" t="str">
        <f t="shared" si="0"/>
        <v>K14</v>
      </c>
      <c r="AH10" s="1725">
        <v>14</v>
      </c>
      <c r="AI10" s="1726">
        <v>11</v>
      </c>
      <c r="AJ10" s="1036">
        <v>7</v>
      </c>
      <c r="AK10" s="1036" t="s">
        <v>1948</v>
      </c>
    </row>
    <row r="11" spans="1:37" ht="21.75" customHeight="1">
      <c r="E11" s="230" t="s">
        <v>755</v>
      </c>
      <c r="F11" s="352" t="str">
        <f>IF(一般事項!F5="","",一般事項!F5)</f>
        <v/>
      </c>
      <c r="G11" s="2588" t="str">
        <f>IF(工事情報!G4="","",工事情報!G4)</f>
        <v/>
      </c>
      <c r="H11" s="2589"/>
      <c r="I11" s="2590"/>
      <c r="J11" s="370"/>
      <c r="K11" s="370"/>
      <c r="L11" s="370"/>
      <c r="M11" s="370"/>
      <c r="N11" s="370"/>
      <c r="O11" s="370"/>
      <c r="P11" s="370"/>
      <c r="Q11" s="370"/>
      <c r="U11" s="237"/>
      <c r="V11" s="272"/>
      <c r="Z11" s="1036">
        <f t="shared" si="1"/>
        <v>8</v>
      </c>
      <c r="AA11" s="1719" t="s">
        <v>1949</v>
      </c>
      <c r="AB11" s="1733"/>
      <c r="AC11" s="1727" t="s">
        <v>1939</v>
      </c>
      <c r="AD11" s="1727">
        <v>28</v>
      </c>
      <c r="AE11" s="1728">
        <v>6</v>
      </c>
      <c r="AF11" s="1729" t="s">
        <v>1938</v>
      </c>
      <c r="AG11" s="1730" t="str">
        <f t="shared" si="0"/>
        <v>A2</v>
      </c>
      <c r="AH11" s="1731">
        <v>2</v>
      </c>
      <c r="AI11" s="1732">
        <v>1</v>
      </c>
      <c r="AJ11" s="1036">
        <v>8</v>
      </c>
      <c r="AK11" s="1036" t="s">
        <v>1950</v>
      </c>
    </row>
    <row r="12" spans="1:37" ht="21.75" customHeight="1">
      <c r="E12" s="232" t="s">
        <v>986</v>
      </c>
      <c r="F12" s="273" t="str">
        <f>IF(元請調査票データ!E8="","",元請調査票データ!E8)</f>
        <v/>
      </c>
      <c r="G12" s="2588" t="str">
        <f>IF(元請調査票データ!E9="","",元請調査票データ!E9)</f>
        <v/>
      </c>
      <c r="H12" s="2589"/>
      <c r="I12" s="2590"/>
      <c r="J12" s="371"/>
      <c r="K12" s="371"/>
      <c r="L12" s="371"/>
      <c r="M12" s="371"/>
      <c r="N12" s="371"/>
      <c r="O12" s="371"/>
      <c r="P12" s="371"/>
      <c r="Q12" s="371"/>
      <c r="U12" s="237"/>
      <c r="V12" s="237"/>
      <c r="Z12" s="1036">
        <f t="shared" si="1"/>
        <v>9</v>
      </c>
      <c r="AA12" s="1719" t="s">
        <v>1951</v>
      </c>
      <c r="AB12" s="1733"/>
      <c r="AC12" s="1727" t="s">
        <v>1939</v>
      </c>
      <c r="AD12" s="1727">
        <v>29</v>
      </c>
      <c r="AE12" s="1728">
        <v>6</v>
      </c>
      <c r="AF12" s="1729" t="s">
        <v>1938</v>
      </c>
      <c r="AG12" s="1730" t="str">
        <f t="shared" si="0"/>
        <v>A2</v>
      </c>
      <c r="AH12" s="1731">
        <v>2</v>
      </c>
      <c r="AI12" s="1732">
        <v>1</v>
      </c>
      <c r="AJ12" s="1036">
        <v>9</v>
      </c>
      <c r="AK12" s="1036" t="s">
        <v>1952</v>
      </c>
    </row>
    <row r="13" spans="1:37" ht="14.25" customHeight="1">
      <c r="A13" s="274" t="s">
        <v>285</v>
      </c>
      <c r="F13" s="367" t="str">
        <f>IF(AND(F11&lt;&gt;"",F12&lt;&gt;"")=TRUE,IF(F11&lt;&gt;F12,"整理番号が一致していません。
発注の整理番号の修正は『チェック』シートのＣ4セル、元請の整理番号の修正は元請ファイル『確認』シートで行ってください。",""),"")</f>
        <v/>
      </c>
      <c r="G13" s="367"/>
      <c r="H13" s="367"/>
      <c r="I13" s="367"/>
      <c r="J13" s="372"/>
      <c r="K13" s="372"/>
      <c r="L13" s="372"/>
      <c r="M13" s="372"/>
      <c r="N13" s="372"/>
      <c r="O13" s="372"/>
      <c r="P13" s="372"/>
      <c r="Q13" s="372"/>
      <c r="U13" s="237"/>
      <c r="V13" s="237"/>
      <c r="Z13" s="1036">
        <f t="shared" si="1"/>
        <v>10</v>
      </c>
      <c r="AA13" s="1735" t="s">
        <v>987</v>
      </c>
      <c r="AB13" s="1736"/>
      <c r="AC13" s="1721" t="s">
        <v>1939</v>
      </c>
      <c r="AD13" s="1721">
        <v>31</v>
      </c>
      <c r="AE13" s="1722">
        <v>6</v>
      </c>
      <c r="AF13" s="1723" t="s">
        <v>1938</v>
      </c>
      <c r="AG13" s="1724" t="str">
        <f t="shared" si="0"/>
        <v>K25</v>
      </c>
      <c r="AH13" s="1737">
        <v>25</v>
      </c>
      <c r="AI13" s="1726">
        <v>11</v>
      </c>
      <c r="AJ13" s="1036">
        <v>10</v>
      </c>
      <c r="AK13" s="1036" t="s">
        <v>1953</v>
      </c>
    </row>
    <row r="14" spans="1:37" ht="16.5" customHeight="1">
      <c r="A14" s="400" t="s">
        <v>1542</v>
      </c>
      <c r="B14" s="398"/>
      <c r="I14" s="1142"/>
      <c r="U14" s="237"/>
      <c r="V14" s="272"/>
      <c r="Z14" s="1036">
        <f t="shared" si="1"/>
        <v>11</v>
      </c>
      <c r="AA14" s="1719" t="s">
        <v>127</v>
      </c>
      <c r="AB14" s="1736"/>
      <c r="AC14" s="1721" t="s">
        <v>1939</v>
      </c>
      <c r="AD14" s="1721">
        <v>36</v>
      </c>
      <c r="AE14" s="1722">
        <v>6</v>
      </c>
      <c r="AF14" s="1723" t="s">
        <v>1938</v>
      </c>
      <c r="AG14" s="1724" t="str">
        <f t="shared" si="0"/>
        <v>K174</v>
      </c>
      <c r="AH14" s="1737">
        <v>174</v>
      </c>
      <c r="AI14" s="1726">
        <v>11</v>
      </c>
      <c r="AJ14" s="1036">
        <v>11</v>
      </c>
      <c r="AK14" s="1036" t="s">
        <v>1954</v>
      </c>
    </row>
    <row r="15" spans="1:37" ht="16.5" customHeight="1">
      <c r="A15" s="401" t="s">
        <v>712</v>
      </c>
      <c r="U15" s="237"/>
      <c r="V15" s="272"/>
      <c r="Z15" s="1036">
        <f t="shared" si="1"/>
        <v>12</v>
      </c>
      <c r="AA15" s="1736" t="s">
        <v>1955</v>
      </c>
      <c r="AB15" s="1736"/>
      <c r="AC15" s="1721" t="s">
        <v>1939</v>
      </c>
      <c r="AD15" s="1721">
        <v>37</v>
      </c>
      <c r="AE15" s="1722">
        <v>6</v>
      </c>
      <c r="AF15" s="1723" t="s">
        <v>1938</v>
      </c>
      <c r="AG15" s="1724" t="str">
        <f t="shared" si="0"/>
        <v>K175</v>
      </c>
      <c r="AH15" s="1737">
        <v>175</v>
      </c>
      <c r="AI15" s="1726">
        <v>11</v>
      </c>
      <c r="AJ15" s="1036">
        <v>12</v>
      </c>
      <c r="AK15" s="1036" t="s">
        <v>1956</v>
      </c>
    </row>
    <row r="16" spans="1:37" ht="16.5" customHeight="1">
      <c r="A16" s="277" t="s">
        <v>551</v>
      </c>
      <c r="U16" s="237"/>
      <c r="V16" s="237"/>
      <c r="Z16" s="1036">
        <f t="shared" si="1"/>
        <v>13</v>
      </c>
      <c r="AA16" s="1736" t="s">
        <v>55</v>
      </c>
      <c r="AB16" s="1736"/>
      <c r="AC16" s="1721" t="s">
        <v>1939</v>
      </c>
      <c r="AD16" s="1721">
        <v>38</v>
      </c>
      <c r="AE16" s="1722">
        <v>6</v>
      </c>
      <c r="AF16" s="1723" t="s">
        <v>1938</v>
      </c>
      <c r="AG16" s="1724" t="str">
        <f t="shared" si="0"/>
        <v>K237</v>
      </c>
      <c r="AH16" s="1737">
        <v>237</v>
      </c>
      <c r="AI16" s="1726">
        <v>11</v>
      </c>
      <c r="AJ16" s="1036">
        <v>13</v>
      </c>
      <c r="AK16" s="1036" t="s">
        <v>1957</v>
      </c>
    </row>
    <row r="17" spans="1:42" ht="16.5" customHeight="1">
      <c r="A17" s="277" t="s">
        <v>864</v>
      </c>
      <c r="U17" s="237"/>
      <c r="V17" s="237"/>
      <c r="Z17" s="1036">
        <f t="shared" si="1"/>
        <v>14</v>
      </c>
      <c r="AA17" s="1736" t="s">
        <v>969</v>
      </c>
      <c r="AB17" s="1736"/>
      <c r="AC17" s="1727" t="s">
        <v>1939</v>
      </c>
      <c r="AD17" s="1727">
        <v>39</v>
      </c>
      <c r="AE17" s="1728">
        <v>6</v>
      </c>
      <c r="AF17" s="1729" t="s">
        <v>1938</v>
      </c>
      <c r="AG17" s="1730" t="str">
        <f t="shared" si="0"/>
        <v>A2</v>
      </c>
      <c r="AH17" s="1738">
        <v>2</v>
      </c>
      <c r="AI17" s="1732">
        <v>1</v>
      </c>
      <c r="AJ17" s="1036">
        <v>14</v>
      </c>
      <c r="AK17" s="1036" t="s">
        <v>1958</v>
      </c>
    </row>
    <row r="18" spans="1:42" ht="14.25" customHeight="1">
      <c r="B18" s="2659" t="s">
        <v>754</v>
      </c>
      <c r="C18" s="2660"/>
      <c r="D18" s="2665" t="s">
        <v>794</v>
      </c>
      <c r="E18" s="2666"/>
      <c r="F18" s="2665" t="s">
        <v>795</v>
      </c>
      <c r="G18" s="2666"/>
      <c r="H18" s="2674" t="s">
        <v>860</v>
      </c>
      <c r="I18" s="2671" t="s">
        <v>111</v>
      </c>
      <c r="J18" s="373"/>
      <c r="K18" s="373"/>
      <c r="L18" s="373"/>
      <c r="M18" s="373"/>
      <c r="N18" s="373"/>
      <c r="O18" s="373"/>
      <c r="P18" s="373"/>
      <c r="Q18" s="373"/>
      <c r="S18" s="270"/>
      <c r="U18" s="237"/>
      <c r="V18" s="272"/>
      <c r="Z18" s="1036">
        <f t="shared" si="1"/>
        <v>15</v>
      </c>
      <c r="AA18" s="1719" t="s">
        <v>485</v>
      </c>
      <c r="AB18" s="1720"/>
      <c r="AC18" s="1721" t="s">
        <v>1939</v>
      </c>
      <c r="AD18" s="1721">
        <v>40</v>
      </c>
      <c r="AE18" s="1722">
        <v>6</v>
      </c>
      <c r="AF18" s="1723" t="s">
        <v>1938</v>
      </c>
      <c r="AG18" s="1724" t="str">
        <f t="shared" si="0"/>
        <v>K241</v>
      </c>
      <c r="AH18" s="1737">
        <v>241</v>
      </c>
      <c r="AI18" s="1726">
        <v>11</v>
      </c>
      <c r="AJ18" s="1036">
        <v>15</v>
      </c>
      <c r="AK18" s="1036" t="s">
        <v>1959</v>
      </c>
      <c r="AN18" s="2642"/>
      <c r="AO18" s="2642"/>
      <c r="AP18" s="2643"/>
    </row>
    <row r="19" spans="1:42" ht="14.25" customHeight="1">
      <c r="B19" s="2661"/>
      <c r="C19" s="2662"/>
      <c r="D19" s="2667"/>
      <c r="E19" s="2668"/>
      <c r="F19" s="2667"/>
      <c r="G19" s="2668"/>
      <c r="H19" s="2675"/>
      <c r="I19" s="2672"/>
      <c r="J19" s="373"/>
      <c r="K19" s="373"/>
      <c r="L19" s="373"/>
      <c r="M19" s="373"/>
      <c r="N19" s="373"/>
      <c r="O19" s="373"/>
      <c r="P19" s="373"/>
      <c r="Q19" s="373"/>
      <c r="S19" s="270"/>
      <c r="U19" s="237"/>
      <c r="V19" s="272"/>
      <c r="Z19" s="1036">
        <f t="shared" si="1"/>
        <v>16</v>
      </c>
      <c r="AA19" s="1719" t="s">
        <v>475</v>
      </c>
      <c r="AB19" s="1720"/>
      <c r="AC19" s="1721" t="s">
        <v>1939</v>
      </c>
      <c r="AD19" s="1721">
        <v>41</v>
      </c>
      <c r="AE19" s="1722">
        <v>6</v>
      </c>
      <c r="AF19" s="1723" t="s">
        <v>1938</v>
      </c>
      <c r="AG19" s="1724" t="str">
        <f t="shared" si="0"/>
        <v>K242</v>
      </c>
      <c r="AH19" s="1737">
        <v>242</v>
      </c>
      <c r="AI19" s="1726">
        <v>11</v>
      </c>
      <c r="AJ19" s="1036">
        <v>16</v>
      </c>
      <c r="AK19" s="1036" t="s">
        <v>1960</v>
      </c>
      <c r="AN19" s="2642"/>
      <c r="AO19" s="2642"/>
      <c r="AP19" s="2643"/>
    </row>
    <row r="20" spans="1:42" ht="22.5" customHeight="1">
      <c r="B20" s="2663"/>
      <c r="C20" s="2664"/>
      <c r="D20" s="261" t="s">
        <v>124</v>
      </c>
      <c r="E20" s="262" t="s">
        <v>521</v>
      </c>
      <c r="F20" s="360" t="s">
        <v>124</v>
      </c>
      <c r="G20" s="262" t="s">
        <v>521</v>
      </c>
      <c r="H20" s="2676"/>
      <c r="I20" s="2673"/>
      <c r="J20" s="373"/>
      <c r="K20" s="373"/>
      <c r="L20" s="373"/>
      <c r="M20" s="373"/>
      <c r="N20" s="373"/>
      <c r="O20" s="373"/>
      <c r="P20" s="373"/>
      <c r="Q20" s="373"/>
      <c r="S20" s="270"/>
      <c r="U20" s="272"/>
      <c r="V20" s="272"/>
      <c r="Z20" s="1036">
        <f t="shared" si="1"/>
        <v>17</v>
      </c>
      <c r="AA20" s="1739" t="s">
        <v>1961</v>
      </c>
      <c r="AB20" s="1720"/>
      <c r="AC20" s="1721" t="s">
        <v>1939</v>
      </c>
      <c r="AD20" s="1721">
        <v>42</v>
      </c>
      <c r="AE20" s="1722">
        <v>6</v>
      </c>
      <c r="AF20" s="1723" t="s">
        <v>1938</v>
      </c>
      <c r="AG20" s="1724" t="str">
        <f t="shared" si="0"/>
        <v>K243</v>
      </c>
      <c r="AH20" s="1737">
        <v>243</v>
      </c>
      <c r="AI20" s="1726">
        <v>11</v>
      </c>
      <c r="AJ20" s="1036">
        <v>17</v>
      </c>
      <c r="AK20" s="1036" t="s">
        <v>1962</v>
      </c>
      <c r="AN20" s="2642"/>
      <c r="AO20" s="2642"/>
      <c r="AP20" s="1930"/>
    </row>
    <row r="21" spans="1:42" ht="33.75" customHeight="1">
      <c r="B21" s="233" t="s">
        <v>765</v>
      </c>
      <c r="C21" s="234"/>
      <c r="D21" s="405" t="str">
        <f>IF(工事情報!G9="","",工事情報!G9)</f>
        <v/>
      </c>
      <c r="E21" s="406"/>
      <c r="F21" s="405">
        <f>IF(元請調査票データ!H12="","",元請調査票データ!H12)</f>
        <v>0</v>
      </c>
      <c r="G21" s="407"/>
      <c r="H21" s="402" t="str">
        <f>IF(AND(D21="",F21="")=TRUE,"要確認1",IF(D21="","要確認2",IF(F21="","要確認3",IF(D21&lt;&gt;F21,"要確認4","OK"))))</f>
        <v>要確認2</v>
      </c>
      <c r="I21" s="268"/>
      <c r="J21" s="374"/>
      <c r="K21" s="374"/>
      <c r="L21" s="374"/>
      <c r="M21" s="374"/>
      <c r="N21" s="374"/>
      <c r="O21" s="374"/>
      <c r="P21" s="374"/>
      <c r="Q21" s="374"/>
      <c r="S21" s="270"/>
      <c r="U21" s="272"/>
      <c r="V21" s="272"/>
      <c r="Z21" s="1036">
        <f t="shared" si="1"/>
        <v>18</v>
      </c>
      <c r="AA21" s="1719" t="s">
        <v>368</v>
      </c>
      <c r="AB21" s="1720" t="s">
        <v>1963</v>
      </c>
      <c r="AC21" s="1721" t="s">
        <v>1939</v>
      </c>
      <c r="AD21" s="1721">
        <v>43</v>
      </c>
      <c r="AE21" s="1722">
        <v>6</v>
      </c>
      <c r="AF21" s="1723" t="s">
        <v>1938</v>
      </c>
      <c r="AG21" s="1724" t="str">
        <f t="shared" si="0"/>
        <v>K247</v>
      </c>
      <c r="AH21" s="1737">
        <v>247</v>
      </c>
      <c r="AI21" s="1726">
        <v>11</v>
      </c>
      <c r="AJ21" s="1036">
        <v>18</v>
      </c>
      <c r="AK21" s="1036" t="s">
        <v>1964</v>
      </c>
      <c r="AN21" s="1931"/>
      <c r="AO21" s="1931"/>
      <c r="AP21" s="1932"/>
    </row>
    <row r="22" spans="1:42" ht="33.75" customHeight="1">
      <c r="B22" s="233" t="s">
        <v>419</v>
      </c>
      <c r="C22" s="234"/>
      <c r="D22" s="405" t="str">
        <f>IF(工事情報!G10="","",工事情報!G10)</f>
        <v/>
      </c>
      <c r="E22" s="406"/>
      <c r="F22" s="408">
        <f>IF(元請調査票データ!H13="","",元請調査票データ!H13)</f>
        <v>0</v>
      </c>
      <c r="G22" s="407"/>
      <c r="H22" s="402" t="str">
        <f>IF(AND(D22="",F22="")=TRUE,"要確認5",IF(D22="","要確認6",IF(F22="","要確認7",IF(D22&lt;&gt;F22,"要確認8","OK"))))</f>
        <v>要確認6</v>
      </c>
      <c r="I22" s="268"/>
      <c r="J22" s="374"/>
      <c r="K22" s="374"/>
      <c r="L22" s="374"/>
      <c r="M22" s="374"/>
      <c r="N22" s="374"/>
      <c r="O22" s="374"/>
      <c r="P22" s="374"/>
      <c r="Q22" s="374"/>
      <c r="S22" s="270"/>
      <c r="U22" s="237"/>
      <c r="V22" s="272"/>
      <c r="W22" s="1018" t="s">
        <v>1110</v>
      </c>
      <c r="Z22" s="1036">
        <f t="shared" si="1"/>
        <v>19</v>
      </c>
      <c r="AA22" s="1735" t="s">
        <v>483</v>
      </c>
      <c r="AB22" s="1736" t="s">
        <v>1965</v>
      </c>
      <c r="AC22" s="1721" t="s">
        <v>1939</v>
      </c>
      <c r="AD22" s="1721">
        <v>50</v>
      </c>
      <c r="AE22" s="1722">
        <v>15</v>
      </c>
      <c r="AF22" s="1723" t="s">
        <v>1938</v>
      </c>
      <c r="AG22" s="1724" t="str">
        <f t="shared" si="0"/>
        <v>K29</v>
      </c>
      <c r="AH22" s="1737">
        <v>29</v>
      </c>
      <c r="AI22" s="1726">
        <v>11</v>
      </c>
      <c r="AJ22" s="1036">
        <v>19</v>
      </c>
      <c r="AK22" s="1036" t="s">
        <v>1966</v>
      </c>
      <c r="AN22" s="1931"/>
      <c r="AO22" s="1931"/>
      <c r="AP22" s="1932"/>
    </row>
    <row r="23" spans="1:42" ht="33.75" customHeight="1">
      <c r="B23" s="1802" t="s">
        <v>708</v>
      </c>
      <c r="C23" s="238"/>
      <c r="D23" s="405" t="str">
        <f>IF(工事費!J9="","",工事費!J9)</f>
        <v/>
      </c>
      <c r="E23" s="409" t="str">
        <f>IF(D23="","",D23/$D$43)</f>
        <v/>
      </c>
      <c r="F23" s="408">
        <f>IF(元請調査票データ!H14="","",元請調査票データ!H14)</f>
        <v>0</v>
      </c>
      <c r="G23" s="409" t="e">
        <f>IF(F23="","",F23/$F$43)</f>
        <v>#DIV/0!</v>
      </c>
      <c r="H23" s="402" t="str">
        <f t="shared" ref="H23:H29" si="2">IF(I23="",R23,IF(AND(R23&lt;&gt;"OK",I23&lt;&gt;""),"要確認→OK",R23))</f>
        <v>要確認10</v>
      </c>
      <c r="I23" s="396"/>
      <c r="J23" s="337"/>
      <c r="K23" s="337"/>
      <c r="L23" s="337"/>
      <c r="M23" s="337"/>
      <c r="N23" s="337"/>
      <c r="O23" s="337"/>
      <c r="P23" s="337"/>
      <c r="Q23" s="337"/>
      <c r="R23" s="497" t="str">
        <f>IF(AND(D23="",F23="")=TRUE,"要確認9",IF(D23="","要確認10",IF(F23="","要確認11",IF(D23=0,"要確認12",IF(F23=0,"要確認13",IF(W23&gt;=50,"要確認14",IF(W23&lt;=-50,"要確認15","OK")))))))</f>
        <v>要確認10</v>
      </c>
      <c r="S23" s="270"/>
      <c r="U23" s="237"/>
      <c r="V23" s="237"/>
      <c r="W23" s="226" t="e">
        <f>(F23-D23)*100/D23</f>
        <v>#VALUE!</v>
      </c>
      <c r="Z23" s="1036">
        <f t="shared" si="1"/>
        <v>20</v>
      </c>
      <c r="AA23" s="1740"/>
      <c r="AB23" s="1736" t="s">
        <v>1967</v>
      </c>
      <c r="AC23" s="1721" t="s">
        <v>1939</v>
      </c>
      <c r="AD23" s="1721">
        <v>51</v>
      </c>
      <c r="AE23" s="1722">
        <v>16</v>
      </c>
      <c r="AF23" s="1723" t="s">
        <v>1938</v>
      </c>
      <c r="AG23" s="1724" t="str">
        <f t="shared" si="0"/>
        <v>K30</v>
      </c>
      <c r="AH23" s="1737">
        <v>30</v>
      </c>
      <c r="AI23" s="1726">
        <v>11</v>
      </c>
      <c r="AJ23" s="1036">
        <v>20</v>
      </c>
      <c r="AK23" s="1036" t="s">
        <v>1968</v>
      </c>
      <c r="AN23" s="1933"/>
      <c r="AO23" s="1934"/>
      <c r="AP23" s="1932"/>
    </row>
    <row r="24" spans="1:42" ht="33.75" customHeight="1">
      <c r="B24" s="263" t="s">
        <v>434</v>
      </c>
      <c r="C24" s="236"/>
      <c r="D24" s="405" t="str">
        <f>IF(工事費!J10="","",工事費!J10)</f>
        <v/>
      </c>
      <c r="E24" s="409" t="str">
        <f>IF(D24="","",D24/$D$43)</f>
        <v/>
      </c>
      <c r="F24" s="405">
        <f>IF(元請調査票データ!H15="","",元請調査票データ!H15)</f>
        <v>0</v>
      </c>
      <c r="G24" s="409" t="e">
        <f>IF(F24="","",F24/$F$43)</f>
        <v>#DIV/0!</v>
      </c>
      <c r="H24" s="402" t="str">
        <f t="shared" si="2"/>
        <v>要確認17</v>
      </c>
      <c r="I24" s="396"/>
      <c r="J24" s="337"/>
      <c r="K24" s="337"/>
      <c r="L24" s="337"/>
      <c r="M24" s="337"/>
      <c r="N24" s="337"/>
      <c r="O24" s="337"/>
      <c r="P24" s="337"/>
      <c r="Q24" s="337"/>
      <c r="R24" s="497" t="str">
        <f>IF(AND(D24="",F24="")=TRUE,"要確認16",IF(D24="","要確認17",IF(F24="","要確認18",IF(D24=0,"要確認19",IF(F24=0,"要確認20",IF(OR(W24&gt;=50),"要確認21",IF(OR(W24&lt;=-50),"要確認22","OK")))))))</f>
        <v>要確認17</v>
      </c>
      <c r="S24" s="270"/>
      <c r="U24" s="237"/>
      <c r="V24" s="237"/>
      <c r="W24" s="226" t="e">
        <f>(F24-D24)*100/D24</f>
        <v>#VALUE!</v>
      </c>
      <c r="Z24" s="1036">
        <f t="shared" si="1"/>
        <v>21</v>
      </c>
      <c r="AA24" s="1741"/>
      <c r="AB24" s="1736" t="s">
        <v>1969</v>
      </c>
      <c r="AC24" s="1721" t="s">
        <v>1939</v>
      </c>
      <c r="AD24" s="1721">
        <v>52</v>
      </c>
      <c r="AE24" s="1722">
        <v>15</v>
      </c>
      <c r="AF24" s="1723" t="s">
        <v>1938</v>
      </c>
      <c r="AG24" s="1724" t="str">
        <f t="shared" si="0"/>
        <v>K31</v>
      </c>
      <c r="AH24" s="1737">
        <v>31</v>
      </c>
      <c r="AI24" s="1726">
        <v>11</v>
      </c>
      <c r="AJ24" s="1036">
        <v>21</v>
      </c>
      <c r="AK24" s="1036" t="s">
        <v>1970</v>
      </c>
      <c r="AN24" s="1935"/>
      <c r="AO24" s="1931"/>
      <c r="AP24" s="1932"/>
    </row>
    <row r="25" spans="1:42" ht="33.75" customHeight="1">
      <c r="B25" s="263" t="s">
        <v>2073</v>
      </c>
      <c r="C25" s="236"/>
      <c r="D25" s="405" t="str">
        <f>IF(工事費!J11="","",工事費!J11)</f>
        <v/>
      </c>
      <c r="E25" s="410"/>
      <c r="F25" s="411"/>
      <c r="G25" s="407"/>
      <c r="H25" s="402" t="str">
        <f t="shared" si="2"/>
        <v>要確認23</v>
      </c>
      <c r="I25" s="396"/>
      <c r="J25" s="337"/>
      <c r="K25" s="337"/>
      <c r="L25" s="337"/>
      <c r="M25" s="337"/>
      <c r="N25" s="337"/>
      <c r="O25" s="337"/>
      <c r="P25" s="337"/>
      <c r="Q25" s="337"/>
      <c r="R25" s="497" t="str">
        <f>IF(D25="","要確認23","OK")</f>
        <v>要確認23</v>
      </c>
      <c r="S25" s="270"/>
      <c r="U25" s="237"/>
      <c r="V25" s="272"/>
      <c r="Z25" s="1036">
        <f t="shared" si="1"/>
        <v>22</v>
      </c>
      <c r="AA25" s="1740"/>
      <c r="AB25" s="1736" t="s">
        <v>1971</v>
      </c>
      <c r="AC25" s="1721" t="s">
        <v>1939</v>
      </c>
      <c r="AD25" s="1721">
        <v>53</v>
      </c>
      <c r="AE25" s="1722">
        <v>15</v>
      </c>
      <c r="AF25" s="1723" t="s">
        <v>1938</v>
      </c>
      <c r="AG25" s="1724" t="str">
        <f t="shared" si="0"/>
        <v>K32</v>
      </c>
      <c r="AH25" s="1737">
        <v>32</v>
      </c>
      <c r="AI25" s="1726">
        <v>11</v>
      </c>
      <c r="AJ25" s="1036">
        <v>22</v>
      </c>
      <c r="AK25" s="1036" t="s">
        <v>1972</v>
      </c>
      <c r="AN25" s="1935"/>
      <c r="AO25" s="1931"/>
      <c r="AP25" s="1932"/>
    </row>
    <row r="26" spans="1:42" s="264" customFormat="1" ht="33.75" customHeight="1">
      <c r="A26" s="275"/>
      <c r="B26" s="263" t="s">
        <v>435</v>
      </c>
      <c r="C26" s="236"/>
      <c r="D26" s="405" t="str">
        <f>IF(工事費!J12="","",工事費!J12)</f>
        <v/>
      </c>
      <c r="E26" s="409" t="str">
        <f>IF(D26="","",D26/$D$43)</f>
        <v/>
      </c>
      <c r="F26" s="405">
        <f>IF(元請調査票データ!H16="","",元請調査票データ!H16)</f>
        <v>0</v>
      </c>
      <c r="G26" s="409" t="e">
        <f>IF(F26="","",F26/$F$43)</f>
        <v>#DIV/0!</v>
      </c>
      <c r="H26" s="402" t="str">
        <f t="shared" si="2"/>
        <v>要確認25</v>
      </c>
      <c r="I26" s="396"/>
      <c r="J26" s="337"/>
      <c r="K26" s="337"/>
      <c r="L26" s="337"/>
      <c r="M26" s="337"/>
      <c r="N26" s="337"/>
      <c r="O26" s="337"/>
      <c r="P26" s="337"/>
      <c r="Q26" s="337"/>
      <c r="R26" s="497" t="str">
        <f>IF(AND(D26="",F26="")=TRUE,"要確認24",IF(D26="","要確認25",IF(F26="","要確認26",IF(D26=0,"要確認27",IF(F26=0,"要確認28",IF(OR(W26&gt;=50),"要確認29",IF(OR(W26&lt;=-50),"要確認30","OK")))))))</f>
        <v>要確認25</v>
      </c>
      <c r="S26" s="270"/>
      <c r="T26" s="226"/>
      <c r="U26" s="237"/>
      <c r="V26" s="272"/>
      <c r="W26" s="226" t="e">
        <f>(F26-D26)*100/D26</f>
        <v>#VALUE!</v>
      </c>
      <c r="Z26" s="1036">
        <f t="shared" si="1"/>
        <v>23</v>
      </c>
      <c r="AA26" s="1740"/>
      <c r="AB26" s="1736" t="s">
        <v>1973</v>
      </c>
      <c r="AC26" s="1721" t="s">
        <v>1939</v>
      </c>
      <c r="AD26" s="1721">
        <v>54</v>
      </c>
      <c r="AE26" s="1722">
        <v>15</v>
      </c>
      <c r="AF26" s="1723" t="s">
        <v>1938</v>
      </c>
      <c r="AG26" s="1724" t="str">
        <f t="shared" si="0"/>
        <v>K33</v>
      </c>
      <c r="AH26" s="1737">
        <v>33</v>
      </c>
      <c r="AI26" s="1726">
        <v>11</v>
      </c>
      <c r="AJ26" s="1036">
        <v>23</v>
      </c>
      <c r="AK26" s="1036" t="s">
        <v>1974</v>
      </c>
      <c r="AN26" s="1935"/>
      <c r="AO26" s="1931"/>
      <c r="AP26" s="1932"/>
    </row>
    <row r="27" spans="1:42" ht="33.75" customHeight="1">
      <c r="B27" s="263" t="s">
        <v>952</v>
      </c>
      <c r="C27" s="236"/>
      <c r="D27" s="405" t="str">
        <f>IF(工事費!J15="","",工事費!J15)</f>
        <v/>
      </c>
      <c r="E27" s="409" t="str">
        <f>IF(D27="","",D27/$D$43)</f>
        <v/>
      </c>
      <c r="F27" s="405">
        <f>IF(元請調査票データ!H20="","",元請調査票データ!H20)</f>
        <v>0</v>
      </c>
      <c r="G27" s="409" t="e">
        <f>IF(F27="","",F27/$F$43)</f>
        <v>#DIV/0!</v>
      </c>
      <c r="H27" s="402" t="str">
        <f t="shared" si="2"/>
        <v>要確認32</v>
      </c>
      <c r="I27" s="396"/>
      <c r="J27" s="337"/>
      <c r="K27" s="318"/>
      <c r="L27" s="337"/>
      <c r="M27" s="337"/>
      <c r="N27" s="337"/>
      <c r="O27" s="337"/>
      <c r="P27" s="337"/>
      <c r="Q27" s="337"/>
      <c r="R27" s="497" t="str">
        <f>IF(AND(D27="",F27="")=TRUE,"要確認31",IF(D27="","要確認32",IF(F27="","要確認33",IF(D27=0,"要確認34",IF(F27=0,"要確認35",IF(OR(W27&gt;=50),"要確認36",IF(OR(W27&lt;=-50),"要確認37","OK")))))))</f>
        <v>要確認32</v>
      </c>
      <c r="U27" s="237"/>
      <c r="V27" s="237"/>
      <c r="W27" s="226" t="e">
        <f>(F27-D27)*100/D27</f>
        <v>#VALUE!</v>
      </c>
      <c r="Z27" s="1036">
        <f t="shared" si="1"/>
        <v>24</v>
      </c>
      <c r="AA27" s="1740"/>
      <c r="AB27" s="1736" t="s">
        <v>1975</v>
      </c>
      <c r="AC27" s="1721" t="s">
        <v>1939</v>
      </c>
      <c r="AD27" s="1721">
        <v>55</v>
      </c>
      <c r="AE27" s="1722">
        <v>15</v>
      </c>
      <c r="AF27" s="1723" t="s">
        <v>1938</v>
      </c>
      <c r="AG27" s="1724" t="str">
        <f t="shared" si="0"/>
        <v>K34</v>
      </c>
      <c r="AH27" s="1737">
        <v>34</v>
      </c>
      <c r="AI27" s="1726">
        <v>11</v>
      </c>
      <c r="AJ27" s="1036">
        <v>24</v>
      </c>
      <c r="AK27" s="1036" t="s">
        <v>1976</v>
      </c>
      <c r="AN27" s="1935"/>
      <c r="AO27" s="1931"/>
      <c r="AP27" s="1932"/>
    </row>
    <row r="28" spans="1:42" ht="33.75" customHeight="1">
      <c r="B28" s="2657" t="s">
        <v>763</v>
      </c>
      <c r="C28" s="2658"/>
      <c r="D28" s="405" t="str">
        <f>IF(工事費!J16="","",工事費!J16)</f>
        <v/>
      </c>
      <c r="E28" s="410"/>
      <c r="F28" s="411"/>
      <c r="G28" s="407"/>
      <c r="H28" s="402" t="str">
        <f t="shared" si="2"/>
        <v>要確認38</v>
      </c>
      <c r="I28" s="396"/>
      <c r="J28" s="337"/>
      <c r="K28" s="337"/>
      <c r="L28" s="337"/>
      <c r="M28" s="337"/>
      <c r="N28" s="337"/>
      <c r="O28" s="337"/>
      <c r="P28" s="337"/>
      <c r="Q28" s="337"/>
      <c r="R28" s="497" t="str">
        <f>IF(D28="","要確認38","OK")</f>
        <v>要確認38</v>
      </c>
      <c r="U28" s="237"/>
      <c r="V28" s="272"/>
      <c r="Z28" s="1036">
        <f t="shared" si="1"/>
        <v>25</v>
      </c>
      <c r="AA28" s="1740"/>
      <c r="AB28" s="1736" t="s">
        <v>1977</v>
      </c>
      <c r="AC28" s="1721" t="s">
        <v>1939</v>
      </c>
      <c r="AD28" s="1721">
        <v>56</v>
      </c>
      <c r="AE28" s="1722">
        <v>16</v>
      </c>
      <c r="AF28" s="1723" t="s">
        <v>1938</v>
      </c>
      <c r="AG28" s="1724" t="str">
        <f t="shared" si="0"/>
        <v>K35</v>
      </c>
      <c r="AH28" s="1737">
        <v>35</v>
      </c>
      <c r="AI28" s="1726">
        <v>11</v>
      </c>
      <c r="AJ28" s="1036">
        <v>25</v>
      </c>
      <c r="AK28" s="1036" t="s">
        <v>1978</v>
      </c>
      <c r="AN28" s="2644"/>
      <c r="AO28" s="2641"/>
      <c r="AP28" s="1932"/>
    </row>
    <row r="29" spans="1:42" ht="33.75" customHeight="1">
      <c r="B29" s="263" t="s">
        <v>2074</v>
      </c>
      <c r="C29" s="231"/>
      <c r="D29" s="405" t="str">
        <f>IF(工事費!J17="","",工事費!J17)</f>
        <v/>
      </c>
      <c r="E29" s="409" t="str">
        <f t="shared" ref="E29:E42" si="3">IF(D29="","",D29/$D$43)</f>
        <v/>
      </c>
      <c r="F29" s="411"/>
      <c r="G29" s="407"/>
      <c r="H29" s="402" t="str">
        <f t="shared" si="2"/>
        <v>要確認39</v>
      </c>
      <c r="I29" s="396"/>
      <c r="J29" s="337"/>
      <c r="K29" s="337"/>
      <c r="L29" s="337"/>
      <c r="O29" s="337"/>
      <c r="P29" s="337"/>
      <c r="Q29" s="337"/>
      <c r="R29" s="497" t="str">
        <f>IF(D29="","要確認39","OK")</f>
        <v>要確認39</v>
      </c>
      <c r="U29" s="237"/>
      <c r="V29" s="237"/>
      <c r="Z29" s="1036">
        <f t="shared" si="1"/>
        <v>26</v>
      </c>
      <c r="AA29" s="1740"/>
      <c r="AB29" s="1736" t="s">
        <v>1979</v>
      </c>
      <c r="AC29" s="1721" t="s">
        <v>1939</v>
      </c>
      <c r="AD29" s="1721">
        <v>57</v>
      </c>
      <c r="AE29" s="1722">
        <v>15</v>
      </c>
      <c r="AF29" s="1723" t="s">
        <v>1938</v>
      </c>
      <c r="AG29" s="1724" t="str">
        <f t="shared" si="0"/>
        <v>K36</v>
      </c>
      <c r="AH29" s="1737">
        <v>36</v>
      </c>
      <c r="AI29" s="1726">
        <v>11</v>
      </c>
      <c r="AJ29" s="1036">
        <v>26</v>
      </c>
      <c r="AK29" s="1036" t="s">
        <v>1980</v>
      </c>
      <c r="AN29" s="1935"/>
      <c r="AO29" s="1931"/>
      <c r="AP29" s="1932"/>
    </row>
    <row r="30" spans="1:42" ht="36.75" customHeight="1">
      <c r="B30" s="2652" t="s">
        <v>472</v>
      </c>
      <c r="C30" s="2669"/>
      <c r="D30" s="412">
        <f>工事費!J18</f>
        <v>0</v>
      </c>
      <c r="E30" s="420" t="str">
        <f>IF(D43=0,"",D30/$D$43)</f>
        <v/>
      </c>
      <c r="F30" s="408">
        <f>IF(元請調査票データ!H21="","",元請調査票データ!H21+元請調査票データ!H22+元請調査票データ!H25)</f>
        <v>0</v>
      </c>
      <c r="G30" s="409" t="e">
        <f>IF(F30="","",F30/$F$43)</f>
        <v>#DIV/0!</v>
      </c>
      <c r="H30" s="500"/>
      <c r="I30" s="396"/>
      <c r="J30" s="337"/>
      <c r="K30" s="337"/>
      <c r="L30" s="381"/>
      <c r="M30" s="564"/>
      <c r="N30" s="564"/>
      <c r="O30" s="337"/>
      <c r="P30" s="337"/>
      <c r="Q30" s="337"/>
      <c r="U30" s="237"/>
      <c r="V30" s="237"/>
      <c r="Z30" s="1036">
        <f t="shared" si="1"/>
        <v>27</v>
      </c>
      <c r="AA30" s="1740"/>
      <c r="AB30" s="1736" t="s">
        <v>1981</v>
      </c>
      <c r="AC30" s="1721" t="s">
        <v>1939</v>
      </c>
      <c r="AD30" s="1721">
        <v>58</v>
      </c>
      <c r="AE30" s="1722">
        <v>15</v>
      </c>
      <c r="AF30" s="1723" t="s">
        <v>1938</v>
      </c>
      <c r="AG30" s="1724" t="str">
        <f t="shared" si="0"/>
        <v>K37</v>
      </c>
      <c r="AH30" s="1737">
        <v>37</v>
      </c>
      <c r="AI30" s="1726">
        <v>11</v>
      </c>
      <c r="AJ30" s="1036"/>
      <c r="AK30" s="1036"/>
      <c r="AN30" s="2640"/>
      <c r="AO30" s="2640"/>
      <c r="AP30" s="1932"/>
    </row>
    <row r="31" spans="1:42" ht="33.75" customHeight="1">
      <c r="B31" s="263" t="s">
        <v>987</v>
      </c>
      <c r="C31" s="231"/>
      <c r="D31" s="412">
        <f>工事費!J23</f>
        <v>0</v>
      </c>
      <c r="E31" s="420" t="str">
        <f>IF(D43=0,"",D31/$D$43)</f>
        <v/>
      </c>
      <c r="F31" s="414">
        <f>IF(元請調査票データ!H29="","",元請調査票データ!H29)</f>
        <v>0</v>
      </c>
      <c r="G31" s="409" t="e">
        <f>IF(F31="","",F31/$F$43)</f>
        <v>#DIV/0!</v>
      </c>
      <c r="H31" s="500"/>
      <c r="I31" s="396"/>
      <c r="J31" s="337"/>
      <c r="K31" s="337"/>
      <c r="L31" s="337"/>
      <c r="M31" s="337"/>
      <c r="N31" s="337"/>
      <c r="O31" s="337"/>
      <c r="P31" s="337"/>
      <c r="Q31" s="337"/>
      <c r="U31" s="237"/>
      <c r="V31" s="272"/>
      <c r="Z31" s="1036">
        <f t="shared" si="1"/>
        <v>28</v>
      </c>
      <c r="AA31" s="1740"/>
      <c r="AB31" s="1736" t="s">
        <v>1982</v>
      </c>
      <c r="AC31" s="1721" t="s">
        <v>1939</v>
      </c>
      <c r="AD31" s="1721">
        <v>59</v>
      </c>
      <c r="AE31" s="1722">
        <v>15</v>
      </c>
      <c r="AF31" s="1723" t="s">
        <v>1938</v>
      </c>
      <c r="AG31" s="1724" t="str">
        <f t="shared" si="0"/>
        <v>K38</v>
      </c>
      <c r="AH31" s="1737">
        <v>38</v>
      </c>
      <c r="AI31" s="1726">
        <v>11</v>
      </c>
      <c r="AJ31" s="1036"/>
      <c r="AK31" s="1036"/>
      <c r="AN31" s="1935"/>
      <c r="AO31" s="1931"/>
      <c r="AP31" s="1932"/>
    </row>
    <row r="32" spans="1:42" ht="33.75" customHeight="1">
      <c r="B32" s="263" t="s">
        <v>125</v>
      </c>
      <c r="C32" s="231"/>
      <c r="D32" s="412">
        <f>工事費!J24</f>
        <v>0</v>
      </c>
      <c r="E32" s="420" t="str">
        <f>IF(D43=0,"",D32/$D$43)</f>
        <v/>
      </c>
      <c r="F32" s="414">
        <f>IF(AND(F33="",F34="",F35=""),"",SUM(F33:F35))</f>
        <v>0</v>
      </c>
      <c r="G32" s="420" t="e">
        <f>IF(F32="","",F32/$F$43)</f>
        <v>#DIV/0!</v>
      </c>
      <c r="H32" s="402" t="str">
        <f>IF(I32="",R32,IF(AND(R32&lt;&gt;"OK",I32&lt;&gt;""),"要確認→OK",R32))</f>
        <v>要確認43</v>
      </c>
      <c r="I32" s="396"/>
      <c r="J32" s="337"/>
      <c r="K32" s="337"/>
      <c r="L32" s="337"/>
      <c r="M32" s="337"/>
      <c r="N32" s="337"/>
      <c r="O32" s="337"/>
      <c r="P32" s="337"/>
      <c r="Q32" s="337"/>
      <c r="R32" s="497" t="str">
        <f>IF(AND(D32="",F32=0)=TRUE,"要確認40",IF(D32="","要確認41",IF(F32="","要確認42",IF(D32=0,"要確認43",IF(F32=0,"要確認44",IF(W32&gt;=50,"要確認45",IF(W32&lt;=-50,"要確認46","OK")))))))</f>
        <v>要確認43</v>
      </c>
      <c r="U32" s="237"/>
      <c r="V32" s="272"/>
      <c r="W32" s="226" t="e">
        <f>(F32-D32)*100/D32</f>
        <v>#DIV/0!</v>
      </c>
      <c r="Z32" s="1036">
        <f t="shared" si="1"/>
        <v>29</v>
      </c>
      <c r="AA32" s="1742"/>
      <c r="AB32" s="1743" t="s">
        <v>1983</v>
      </c>
      <c r="AC32" s="1721" t="s">
        <v>1939</v>
      </c>
      <c r="AD32" s="1721">
        <v>60</v>
      </c>
      <c r="AE32" s="1722">
        <v>16</v>
      </c>
      <c r="AF32" s="1723" t="s">
        <v>1938</v>
      </c>
      <c r="AG32" s="1724" t="str">
        <f t="shared" si="0"/>
        <v>K39</v>
      </c>
      <c r="AH32" s="1737">
        <v>39</v>
      </c>
      <c r="AI32" s="1726">
        <v>11</v>
      </c>
      <c r="AJ32" s="1036"/>
      <c r="AK32" s="1036"/>
      <c r="AN32" s="1935"/>
      <c r="AO32" s="1931"/>
      <c r="AP32" s="1932"/>
    </row>
    <row r="33" spans="1:42" ht="33.75" customHeight="1">
      <c r="B33" s="263" t="s">
        <v>126</v>
      </c>
      <c r="C33" s="231"/>
      <c r="D33" s="412">
        <f>工事費!J25</f>
        <v>0</v>
      </c>
      <c r="E33" s="420" t="str">
        <f>IF(D43=0,"",D33/$D$43)</f>
        <v/>
      </c>
      <c r="F33" s="414" t="str">
        <f>IF(SUMIFS(元請調査票データ!$H:$H,元請調査票データ!$M:$M,"○")=0,"",SUMIFS(元請調査票データ!$H:$H,元請調査票データ!$M:$M,"○"))</f>
        <v/>
      </c>
      <c r="G33" s="420" t="str">
        <f>IF(F33="","",F33/$F$43)</f>
        <v/>
      </c>
      <c r="H33" s="402" t="str">
        <f>IF(I33="",R33,IF(AND(R33&lt;&gt;"OK",I33&lt;&gt;""),"要確認→OK",R33))</f>
        <v>要確認49</v>
      </c>
      <c r="I33" s="396"/>
      <c r="J33" s="337"/>
      <c r="L33" s="337"/>
      <c r="M33" s="337"/>
      <c r="N33" s="337"/>
      <c r="O33" s="337"/>
      <c r="P33" s="337"/>
      <c r="Q33" s="337"/>
      <c r="R33" s="497" t="str">
        <f>IF(AND(D33="",F33="")=TRUE,"要確認47",IF(D33="","要確認48",IF(F33="","要確認49",IF(AND(D33=0,F33&gt;0),"要確認50",IF(AND(D33=0,F33=0),"OK",IF(W33&gt;=50,"要確認50",IF(W33&lt;=-50,"要確認51","OK")))))))</f>
        <v>要確認49</v>
      </c>
      <c r="U33" s="237"/>
      <c r="V33" s="272"/>
      <c r="W33" s="226" t="e">
        <f>(F33-D33)*100/D33</f>
        <v>#VALUE!</v>
      </c>
      <c r="Z33" s="1036">
        <f t="shared" si="1"/>
        <v>30</v>
      </c>
      <c r="AA33" s="1742"/>
      <c r="AB33" s="1743" t="s">
        <v>1984</v>
      </c>
      <c r="AC33" s="1721" t="s">
        <v>1939</v>
      </c>
      <c r="AD33" s="1721">
        <v>61</v>
      </c>
      <c r="AE33" s="1722">
        <v>15</v>
      </c>
      <c r="AF33" s="1723" t="s">
        <v>1938</v>
      </c>
      <c r="AG33" s="1724" t="str">
        <f t="shared" si="0"/>
        <v>K40</v>
      </c>
      <c r="AH33" s="1737">
        <v>40</v>
      </c>
      <c r="AI33" s="1726">
        <v>11</v>
      </c>
      <c r="AJ33" s="1036"/>
      <c r="AK33" s="1036"/>
      <c r="AN33" s="1935"/>
      <c r="AO33" s="1931"/>
      <c r="AP33" s="1932"/>
    </row>
    <row r="34" spans="1:42" ht="33.75" customHeight="1">
      <c r="B34" s="263" t="s">
        <v>437</v>
      </c>
      <c r="C34" s="231"/>
      <c r="D34" s="412" t="str">
        <f>IF(工事費!J38="","",工事費!J38)</f>
        <v/>
      </c>
      <c r="E34" s="420" t="str">
        <f t="shared" si="3"/>
        <v/>
      </c>
      <c r="F34" s="414" t="str">
        <f>IF(SUMIFS(元請調査票データ!$H:$H,元請調査票データ!$L:$L,"○")=0,"",SUMIFS(元請調査票データ!$H:$H,元請調査票データ!$L:$L,"○"))</f>
        <v/>
      </c>
      <c r="G34" s="420" t="str">
        <f t="shared" ref="G34:G42" si="4">IF(F34="","",F34/$F$43)</f>
        <v/>
      </c>
      <c r="H34" s="402" t="str">
        <f>IF(I34="",R34,IF(AND(R34&lt;&gt;"OK",I34&lt;&gt;""),"要確認→OK",R34))</f>
        <v>要確認52</v>
      </c>
      <c r="I34" s="396"/>
      <c r="J34" s="337"/>
      <c r="L34" s="337"/>
      <c r="M34" s="337"/>
      <c r="N34" s="337"/>
      <c r="O34" s="337"/>
      <c r="P34" s="337"/>
      <c r="Q34" s="337"/>
      <c r="R34" s="497" t="str">
        <f>IF(AND(D34="",F34="")=TRUE,"要確認52",IF(D34="","要確認53",IF(F34="","要確認54",IF(D34=0,"要確認55",IF(F34=0,"要確認56",IF(W34&gt;=50,"要確認57",IF(W34&lt;=-50,"要確認58","OK")))))))</f>
        <v>要確認52</v>
      </c>
      <c r="U34" s="237"/>
      <c r="V34" s="237"/>
      <c r="W34" s="226" t="e">
        <f>(F34-D34)*100/D34</f>
        <v>#VALUE!</v>
      </c>
      <c r="Z34" s="1036">
        <f t="shared" si="1"/>
        <v>31</v>
      </c>
      <c r="AA34" s="1742"/>
      <c r="AB34" s="1743" t="s">
        <v>469</v>
      </c>
      <c r="AC34" s="1721" t="s">
        <v>1939</v>
      </c>
      <c r="AD34" s="1721">
        <v>62</v>
      </c>
      <c r="AE34" s="1722">
        <v>16</v>
      </c>
      <c r="AF34" s="1723" t="s">
        <v>1938</v>
      </c>
      <c r="AG34" s="1724" t="str">
        <f t="shared" si="0"/>
        <v>K41</v>
      </c>
      <c r="AH34" s="1737">
        <v>41</v>
      </c>
      <c r="AI34" s="1726">
        <v>11</v>
      </c>
      <c r="AJ34" s="1036"/>
      <c r="AK34" s="1036"/>
      <c r="AN34" s="1935"/>
      <c r="AO34" s="1931"/>
      <c r="AP34" s="1932"/>
    </row>
    <row r="35" spans="1:42" ht="33.75" customHeight="1">
      <c r="B35" s="263" t="s">
        <v>1804</v>
      </c>
      <c r="C35" s="231"/>
      <c r="D35" s="412">
        <f>SUM(工事費!J39:J40)</f>
        <v>0</v>
      </c>
      <c r="E35" s="420" t="str">
        <f>IF(D35=0,"",D35/$D$43)</f>
        <v/>
      </c>
      <c r="F35" s="414">
        <f>IF(元請調査票データ!H114="","",元請調査票データ!H114)</f>
        <v>0</v>
      </c>
      <c r="G35" s="420" t="e">
        <f t="shared" si="4"/>
        <v>#DIV/0!</v>
      </c>
      <c r="H35" s="402" t="str">
        <f>IF(I35="",R35,IF(AND(R35&lt;&gt;"OK",I35&lt;&gt;""),"要確認→OK",R35))</f>
        <v>OK</v>
      </c>
      <c r="I35" s="396"/>
      <c r="J35" s="337"/>
      <c r="K35" s="337"/>
      <c r="L35" s="337"/>
      <c r="M35" s="337"/>
      <c r="N35" s="337"/>
      <c r="O35" s="337"/>
      <c r="P35" s="337"/>
      <c r="Q35" s="337"/>
      <c r="R35" s="497" t="str">
        <f>IF(AND(D35="",F35="")=TRUE,"要確認59",IF(D35="","要確認60",IF(F35="","要確認61",IF(AND(D35=0,F35&gt;0),"要確認62",IF(AND(D35=0,F35=0),"OK",IF(W35&gt;=50,"要確認62",IF(W35&lt;=-50,"要確認63","OK")))))))</f>
        <v>OK</v>
      </c>
      <c r="U35" s="237"/>
      <c r="V35" s="237"/>
      <c r="W35" s="226" t="e">
        <f>(F35-D35)*100/D35</f>
        <v>#DIV/0!</v>
      </c>
      <c r="Z35" s="1036">
        <f t="shared" si="1"/>
        <v>32</v>
      </c>
      <c r="AA35" s="1744"/>
      <c r="AB35" s="1743" t="s">
        <v>1985</v>
      </c>
      <c r="AC35" s="1721" t="s">
        <v>1939</v>
      </c>
      <c r="AD35" s="1721">
        <v>63</v>
      </c>
      <c r="AE35" s="1722">
        <v>15</v>
      </c>
      <c r="AF35" s="1723" t="s">
        <v>1938</v>
      </c>
      <c r="AG35" s="1724" t="str">
        <f t="shared" si="0"/>
        <v>K45</v>
      </c>
      <c r="AH35" s="1737">
        <v>45</v>
      </c>
      <c r="AI35" s="1726">
        <v>11</v>
      </c>
      <c r="AJ35" s="1036"/>
      <c r="AK35" s="1036"/>
      <c r="AN35" s="1935"/>
      <c r="AO35" s="1931"/>
      <c r="AP35" s="1932"/>
    </row>
    <row r="36" spans="1:42" ht="33.75" customHeight="1">
      <c r="B36" s="263" t="s">
        <v>127</v>
      </c>
      <c r="C36" s="231"/>
      <c r="D36" s="412" t="str">
        <f>IF(工事費!J45="","",工事費!J45)</f>
        <v/>
      </c>
      <c r="E36" s="420" t="str">
        <f t="shared" si="3"/>
        <v/>
      </c>
      <c r="F36" s="414">
        <f>IF(元請調査票データ!H124="","",元請調査票データ!H124)</f>
        <v>0</v>
      </c>
      <c r="G36" s="409" t="e">
        <f t="shared" si="4"/>
        <v>#DIV/0!</v>
      </c>
      <c r="H36" s="402" t="str">
        <f>IF(I36="",R36,IF(AND(R36&lt;&gt;"OK",I36&lt;&gt;""),"要確認→OK",R36))</f>
        <v>要確認65</v>
      </c>
      <c r="I36" s="396"/>
      <c r="J36" s="337"/>
      <c r="K36" s="337"/>
      <c r="L36" s="337"/>
      <c r="M36" s="337"/>
      <c r="N36" s="337"/>
      <c r="O36" s="337"/>
      <c r="P36" s="337"/>
      <c r="Q36" s="337"/>
      <c r="R36" s="497" t="str">
        <f>IF(D36="",S36,IF(AND(S36="",T36=""),"OK",S36&amp;T36))</f>
        <v>要確認65</v>
      </c>
      <c r="S36" s="499" t="str">
        <f>IF(AND(D36="",F36="")=TRUE,"要確認64",IF(D36="","要確認65",IF(F36="","要確認66",IF(AND(D36&gt;0,F36=0)=TRUE,"要確認67",IF(AND(D36=0,F36&gt;0)=TRUE,"要確認68","")))))</f>
        <v>要確認65</v>
      </c>
      <c r="T36" s="499" t="str">
        <f>IF(D36=0,"",IF(F36=0,"",IF(100*(F36-D36)/D36&gt;=50,"要確認69",IF(100*(F36-D36)/D36&lt;=-50,"要確認70",""))))</f>
        <v/>
      </c>
      <c r="U36" s="237"/>
      <c r="V36" s="272"/>
      <c r="Z36" s="1036">
        <f t="shared" si="1"/>
        <v>33</v>
      </c>
      <c r="AA36" s="1745" t="s">
        <v>286</v>
      </c>
      <c r="AB36" s="1743" t="s">
        <v>1986</v>
      </c>
      <c r="AC36" s="1721" t="s">
        <v>1939</v>
      </c>
      <c r="AD36" s="1721">
        <v>65</v>
      </c>
      <c r="AE36" s="1722">
        <v>15</v>
      </c>
      <c r="AF36" s="1723" t="s">
        <v>1938</v>
      </c>
      <c r="AG36" s="1724" t="str">
        <f t="shared" si="0"/>
        <v>K48</v>
      </c>
      <c r="AH36" s="1725">
        <v>48</v>
      </c>
      <c r="AI36" s="1726">
        <v>11</v>
      </c>
      <c r="AJ36" s="1036"/>
      <c r="AK36" s="1036"/>
      <c r="AN36" s="1935"/>
      <c r="AO36" s="1931"/>
      <c r="AP36" s="1932"/>
    </row>
    <row r="37" spans="1:42" ht="33.75" customHeight="1">
      <c r="A37" s="276"/>
      <c r="B37" s="263" t="s">
        <v>845</v>
      </c>
      <c r="C37" s="234"/>
      <c r="D37" s="412" t="str">
        <f>IF(工事費!J46="","",工事費!J46)</f>
        <v/>
      </c>
      <c r="E37" s="420" t="str">
        <f t="shared" si="3"/>
        <v/>
      </c>
      <c r="F37" s="414">
        <f>IF(元請調査票データ!H125="","",元請調査票データ!H125)</f>
        <v>0</v>
      </c>
      <c r="G37" s="409" t="e">
        <f t="shared" si="4"/>
        <v>#DIV/0!</v>
      </c>
      <c r="H37" s="402" t="str">
        <f t="shared" ref="H37:H43" si="5">IF(I37="",R37,IF(AND(R37&lt;&gt;"OK",I37&lt;&gt;""),"要確認→OK",R37))</f>
        <v>要確認72</v>
      </c>
      <c r="I37" s="396"/>
      <c r="J37" s="337"/>
      <c r="K37" s="337"/>
      <c r="L37" s="337"/>
      <c r="M37" s="337"/>
      <c r="N37" s="337"/>
      <c r="O37" s="337"/>
      <c r="P37" s="337"/>
      <c r="Q37" s="337"/>
      <c r="R37" s="498" t="str">
        <f>IF(AND(D37="",F37="")=TRUE,"要確認71",IF(D37="","要確認72",IF(F37="","要確認73",IF(D37=0,"要確認74",IF(F37=0,"要確認75",IF(W37&gt;=2,"要確認76",IF(W37&lt;=0.5,"要確認77","OK")))))))</f>
        <v>要確認72</v>
      </c>
      <c r="S37" s="362"/>
      <c r="T37" s="362"/>
      <c r="U37" s="237"/>
      <c r="V37" s="272"/>
      <c r="W37" s="226" t="e">
        <f>F37/D37</f>
        <v>#VALUE!</v>
      </c>
      <c r="Z37" s="1036">
        <f t="shared" si="1"/>
        <v>34</v>
      </c>
      <c r="AA37" s="1742"/>
      <c r="AB37" s="1743" t="s">
        <v>1987</v>
      </c>
      <c r="AC37" s="1721" t="s">
        <v>1939</v>
      </c>
      <c r="AD37" s="1721">
        <v>66</v>
      </c>
      <c r="AE37" s="1722">
        <v>15</v>
      </c>
      <c r="AF37" s="1723" t="s">
        <v>1938</v>
      </c>
      <c r="AG37" s="1724" t="str">
        <f t="shared" si="0"/>
        <v>K49</v>
      </c>
      <c r="AH37" s="1725">
        <v>49</v>
      </c>
      <c r="AI37" s="1726">
        <v>11</v>
      </c>
      <c r="AJ37" s="1036"/>
      <c r="AK37" s="1036"/>
      <c r="AN37" s="1935"/>
      <c r="AO37" s="1931"/>
      <c r="AP37" s="1932"/>
    </row>
    <row r="38" spans="1:42" ht="33.75" customHeight="1">
      <c r="A38" s="276"/>
      <c r="B38" s="263" t="s">
        <v>55</v>
      </c>
      <c r="C38" s="231"/>
      <c r="D38" s="412">
        <f>工事費!J48</f>
        <v>0</v>
      </c>
      <c r="E38" s="420" t="str">
        <f>IF(D43=0,"",D38/$D$43)</f>
        <v/>
      </c>
      <c r="F38" s="414">
        <f>IF(元請調査票データ!H162="","",元請調査票データ!H162)</f>
        <v>0</v>
      </c>
      <c r="G38" s="409" t="e">
        <f t="shared" si="4"/>
        <v>#DIV/0!</v>
      </c>
      <c r="H38" s="402" t="str">
        <f t="shared" si="5"/>
        <v>OK</v>
      </c>
      <c r="I38" s="396"/>
      <c r="J38" s="337"/>
      <c r="K38" s="337"/>
      <c r="L38" s="337"/>
      <c r="M38" s="337"/>
      <c r="N38" s="337"/>
      <c r="O38" s="337"/>
      <c r="P38" s="337"/>
      <c r="Q38" s="337"/>
      <c r="R38" s="497" t="str">
        <f>IF(D38="",S38,IF(AND(S38="",T38=""),"OK",S38&amp;T38))</f>
        <v>OK</v>
      </c>
      <c r="S38" s="499" t="str">
        <f>IF(AND(D38="",F38="")=TRUE,"要確認78",IF(D38="","要確認79",IF(F38="","要確認80",IF(AND(D38&gt;0,F38=0)=TRUE,"要確認82",IF(AND(D38=0,F38&gt;0)=TRUE,"要確認81","")))))</f>
        <v/>
      </c>
      <c r="T38" s="499" t="str">
        <f>IF(D38=0,"",IF(F38=0,"",IF(100*(F38-D38)/D38&gt;=50,"要確認81",IF(100*(F38-D38)/D38&lt;=-50,"要確認82",""))))</f>
        <v/>
      </c>
      <c r="U38" s="237"/>
      <c r="V38" s="237"/>
      <c r="Z38" s="1036">
        <f t="shared" si="1"/>
        <v>35</v>
      </c>
      <c r="AA38" s="1742"/>
      <c r="AB38" s="1743" t="s">
        <v>1988</v>
      </c>
      <c r="AC38" s="1721" t="s">
        <v>1939</v>
      </c>
      <c r="AD38" s="1721">
        <v>67</v>
      </c>
      <c r="AE38" s="1722">
        <v>15</v>
      </c>
      <c r="AF38" s="1723" t="s">
        <v>1938</v>
      </c>
      <c r="AG38" s="1724" t="str">
        <f t="shared" si="0"/>
        <v>K50</v>
      </c>
      <c r="AH38" s="1725">
        <v>50</v>
      </c>
      <c r="AI38" s="1726">
        <v>11</v>
      </c>
      <c r="AJ38" s="1036"/>
      <c r="AK38" s="1036"/>
      <c r="AN38" s="1935"/>
      <c r="AO38" s="1931"/>
      <c r="AP38" s="1932"/>
    </row>
    <row r="39" spans="1:42" ht="41.25" customHeight="1">
      <c r="A39" s="276"/>
      <c r="B39" s="2677" t="s">
        <v>2372</v>
      </c>
      <c r="C39" s="2678"/>
      <c r="D39" s="412" t="str">
        <f>IF(工事費!J51="","",工事費!J51)</f>
        <v/>
      </c>
      <c r="E39" s="410"/>
      <c r="F39" s="411"/>
      <c r="G39" s="407"/>
      <c r="H39" s="402" t="str">
        <f t="shared" si="5"/>
        <v>要確認110</v>
      </c>
      <c r="I39" s="396"/>
      <c r="J39" s="337"/>
      <c r="K39" s="337"/>
      <c r="L39" s="337"/>
      <c r="M39" s="337"/>
      <c r="N39" s="337"/>
      <c r="O39" s="337"/>
      <c r="P39" s="337"/>
      <c r="Q39" s="337"/>
      <c r="R39" s="497" t="str">
        <f>IF(D39="","要確認110","OK")</f>
        <v>要確認110</v>
      </c>
      <c r="S39" s="499"/>
      <c r="T39" s="499"/>
      <c r="U39" s="237"/>
      <c r="V39" s="237"/>
      <c r="Z39" s="1036">
        <f t="shared" si="1"/>
        <v>36</v>
      </c>
      <c r="AA39" s="1744"/>
      <c r="AB39" s="1743" t="s">
        <v>484</v>
      </c>
      <c r="AC39" s="1721" t="s">
        <v>1939</v>
      </c>
      <c r="AD39" s="1721">
        <v>68</v>
      </c>
      <c r="AE39" s="1722">
        <v>15</v>
      </c>
      <c r="AF39" s="1723" t="s">
        <v>1938</v>
      </c>
      <c r="AG39" s="1724" t="str">
        <f t="shared" si="0"/>
        <v>K51</v>
      </c>
      <c r="AH39" s="1725">
        <v>51</v>
      </c>
      <c r="AI39" s="1726">
        <v>11</v>
      </c>
      <c r="AJ39" s="1036"/>
      <c r="AK39" s="1036"/>
      <c r="AN39" s="2640"/>
      <c r="AO39" s="2640"/>
      <c r="AP39" s="1932"/>
    </row>
    <row r="40" spans="1:42" ht="33.75" customHeight="1">
      <c r="B40" s="235" t="s">
        <v>485</v>
      </c>
      <c r="C40" s="236"/>
      <c r="D40" s="412" t="str">
        <f>IF(工事費!J54="","",工事費!J54)</f>
        <v/>
      </c>
      <c r="E40" s="420" t="str">
        <f t="shared" si="3"/>
        <v/>
      </c>
      <c r="F40" s="412">
        <f>IF(元請調査票データ!H166="","",元請調査票データ!H166)</f>
        <v>0</v>
      </c>
      <c r="G40" s="409" t="e">
        <f t="shared" si="4"/>
        <v>#DIV/0!</v>
      </c>
      <c r="H40" s="402" t="str">
        <f t="shared" si="5"/>
        <v>要確認84</v>
      </c>
      <c r="I40" s="396"/>
      <c r="J40" s="337"/>
      <c r="K40" s="337"/>
      <c r="L40" s="337"/>
      <c r="M40" s="337"/>
      <c r="N40" s="337"/>
      <c r="O40" s="337"/>
      <c r="P40" s="337"/>
      <c r="Q40" s="337"/>
      <c r="R40" s="577" t="str">
        <f>IF(AND(D40="",F40="")=TRUE,"要確認83",IF(D40="","要確認84",IF(F40="","要確認86",IF(D40=0,"要確認85",IF(W40&gt;=50,"要確認87",IF(W40&lt;=-50,"要確認88","OK"))))))</f>
        <v>要確認84</v>
      </c>
      <c r="S40" s="362"/>
      <c r="T40" s="362"/>
      <c r="U40" s="237"/>
      <c r="V40" s="237"/>
      <c r="W40" s="226" t="e">
        <f>F40/F43*100</f>
        <v>#DIV/0!</v>
      </c>
      <c r="Z40" s="1036">
        <f t="shared" si="1"/>
        <v>37</v>
      </c>
      <c r="AA40" s="1745" t="s">
        <v>1989</v>
      </c>
      <c r="AB40" s="1743" t="s">
        <v>1990</v>
      </c>
      <c r="AC40" s="1721" t="s">
        <v>1939</v>
      </c>
      <c r="AD40" s="1721">
        <v>70</v>
      </c>
      <c r="AE40" s="1722">
        <v>16</v>
      </c>
      <c r="AF40" s="1723" t="s">
        <v>1938</v>
      </c>
      <c r="AG40" s="1724" t="str">
        <f t="shared" si="0"/>
        <v>K57</v>
      </c>
      <c r="AH40" s="1725">
        <v>57</v>
      </c>
      <c r="AI40" s="1726">
        <v>11</v>
      </c>
      <c r="AJ40" s="1036"/>
      <c r="AK40" s="1036"/>
      <c r="AN40" s="1933"/>
      <c r="AO40" s="1931"/>
      <c r="AP40" s="1932"/>
    </row>
    <row r="41" spans="1:42" ht="39.75" customHeight="1">
      <c r="B41" s="2652" t="s">
        <v>475</v>
      </c>
      <c r="C41" s="2653"/>
      <c r="D41" s="1145" t="str">
        <f>IF(工事費!J55="","",工事費!J55)</f>
        <v/>
      </c>
      <c r="E41" s="420" t="str">
        <f t="shared" si="3"/>
        <v/>
      </c>
      <c r="F41" s="412">
        <f>IF(元請調査票データ!H167="","",元請調査票データ!H167)</f>
        <v>0</v>
      </c>
      <c r="G41" s="409" t="e">
        <f t="shared" si="4"/>
        <v>#DIV/0!</v>
      </c>
      <c r="H41" s="402" t="str">
        <f>IF(I41="",R41,IF(AND(AND(R41&lt;&gt;"要確認92",R41&lt;&gt;"要確認93",R41&lt;&gt;"OK"),I41&lt;&gt;""),"要確認→OK",R41))</f>
        <v>要確認90</v>
      </c>
      <c r="I41" s="396"/>
      <c r="J41" s="1144" t="str">
        <f>IF(OR(H41="要確認92",H41="要確認93"),"要確認一覧表に従って必ず修正してください","")</f>
        <v/>
      </c>
      <c r="K41" s="337"/>
      <c r="L41" s="337"/>
      <c r="M41" s="337"/>
      <c r="N41" s="337"/>
      <c r="O41" s="337"/>
      <c r="P41" s="337"/>
      <c r="Q41" s="337"/>
      <c r="R41" s="497" t="str">
        <f>IF(D41="",S41,IF(AND(S41="",T41=""),"OK",S41&amp;T41))</f>
        <v>要確認90</v>
      </c>
      <c r="S41" s="499" t="str">
        <f>IF(AND(D41="",F41="")=TRUE,"要確認89",IF(D41="","要確認90",IF(F41="","要確認91",IF(AND(D41&gt;0,F41=0)=TRUE,"要確認92",IF(AND(D41=0,F41&gt;0)=TRUE,"要確認93","")))))</f>
        <v>要確認90</v>
      </c>
      <c r="T41" s="499" t="str">
        <f>IF(D41=0,"",IF(F41=0,"",IF(100*(F41-D41)/D41&gt;=20,"要確認94",IF(100*(F41-D41)/D41&lt;=-20,"要確認95",""))))</f>
        <v/>
      </c>
      <c r="U41" s="2652" t="s">
        <v>475</v>
      </c>
      <c r="V41" s="2653"/>
      <c r="Z41" s="1036">
        <f t="shared" si="1"/>
        <v>38</v>
      </c>
      <c r="AA41" s="1742"/>
      <c r="AB41" s="1743" t="s">
        <v>1987</v>
      </c>
      <c r="AC41" s="1721" t="s">
        <v>1939</v>
      </c>
      <c r="AD41" s="1721">
        <v>71</v>
      </c>
      <c r="AE41" s="1722">
        <v>16</v>
      </c>
      <c r="AF41" s="1723" t="s">
        <v>1938</v>
      </c>
      <c r="AG41" s="1724" t="str">
        <f t="shared" si="0"/>
        <v>K58</v>
      </c>
      <c r="AH41" s="1725">
        <v>58</v>
      </c>
      <c r="AI41" s="1726">
        <v>11</v>
      </c>
      <c r="AJ41" s="1036"/>
      <c r="AK41" s="1036"/>
      <c r="AN41" s="2640"/>
      <c r="AO41" s="2641"/>
      <c r="AP41" s="1932"/>
    </row>
    <row r="42" spans="1:42" ht="33.75" customHeight="1">
      <c r="B42" s="2652" t="s">
        <v>476</v>
      </c>
      <c r="C42" s="2653"/>
      <c r="D42" s="1145" t="str">
        <f>IF(工事費!J56="","",工事費!J56)</f>
        <v/>
      </c>
      <c r="E42" s="420" t="str">
        <f t="shared" si="3"/>
        <v/>
      </c>
      <c r="F42" s="412">
        <f>IF(元請調査票データ!H168="","",元請調査票データ!H168)</f>
        <v>0</v>
      </c>
      <c r="G42" s="409" t="e">
        <f t="shared" si="4"/>
        <v>#DIV/0!</v>
      </c>
      <c r="H42" s="402" t="str">
        <f>IF(I42="",R42,IF(AND(AND(R42&lt;&gt;"要確認99",R42&lt;&gt;"要確認100",R42&lt;&gt;"OK"),I42&lt;&gt;""),"要確認→OK",R42))</f>
        <v>要確認97</v>
      </c>
      <c r="I42" s="396"/>
      <c r="J42" s="1144" t="str">
        <f>IF(OR(H42="要確認99",H42="要確認100"),"要確認一覧表に従って必ず修正してください","")</f>
        <v/>
      </c>
      <c r="K42" s="337"/>
      <c r="L42" s="337"/>
      <c r="M42" s="337"/>
      <c r="N42" s="337"/>
      <c r="O42" s="337"/>
      <c r="P42" s="337"/>
      <c r="Q42" s="337"/>
      <c r="R42" s="497" t="str">
        <f>IF(D42="",S42,IF(AND(S42="",T42=""),"OK",S42&amp;T42))</f>
        <v>要確認97</v>
      </c>
      <c r="S42" s="499" t="str">
        <f>IF(AND(D42="",F42="")=TRUE,"要確認96",IF(D42="","要確認97",IF(F42="","要確認98",IF(AND(D42&gt;0,F42=0)=TRUE,"要確認99",IF(AND(D42=0,F42&gt;0)=TRUE,"要確認100","")))))</f>
        <v>要確認97</v>
      </c>
      <c r="T42" s="499" t="str">
        <f>IF(D42=0,"",IF(F42=0,"",IF(100*(F42-D42)/D42&gt;=20,"要確認101",IF(100*(F42-D42)/D42&lt;=-20,"要確認102",""))))</f>
        <v/>
      </c>
      <c r="U42" s="237"/>
      <c r="V42" s="237"/>
      <c r="Z42" s="1036">
        <f t="shared" si="1"/>
        <v>39</v>
      </c>
      <c r="AA42" s="1744"/>
      <c r="AB42" s="1743" t="s">
        <v>484</v>
      </c>
      <c r="AC42" s="1721" t="s">
        <v>1939</v>
      </c>
      <c r="AD42" s="1721">
        <v>72</v>
      </c>
      <c r="AE42" s="1722">
        <v>16</v>
      </c>
      <c r="AF42" s="1723" t="s">
        <v>1938</v>
      </c>
      <c r="AG42" s="1724" t="str">
        <f t="shared" si="0"/>
        <v>K59</v>
      </c>
      <c r="AH42" s="1725">
        <v>59</v>
      </c>
      <c r="AI42" s="1726">
        <v>11</v>
      </c>
      <c r="AJ42" s="1036"/>
      <c r="AK42" s="1036"/>
      <c r="AN42" s="2640"/>
      <c r="AO42" s="2641"/>
      <c r="AP42" s="1932"/>
    </row>
    <row r="43" spans="1:42" s="192" customFormat="1" ht="33.75" customHeight="1">
      <c r="A43" s="275"/>
      <c r="B43" s="575" t="s">
        <v>368</v>
      </c>
      <c r="C43" s="1031" t="e">
        <f>S43</f>
        <v>#DIV/0!</v>
      </c>
      <c r="D43" s="412">
        <f>工事費!J57</f>
        <v>0</v>
      </c>
      <c r="E43" s="420" t="str">
        <f>IF(D43=0,"",D43/$D$43)</f>
        <v/>
      </c>
      <c r="F43" s="412">
        <f>IF(元請調査票データ!H169="","",元請調査票データ!H169)</f>
        <v>0</v>
      </c>
      <c r="G43" s="409" t="e">
        <f>IF(F43="","",F43/$F$43)</f>
        <v>#DIV/0!</v>
      </c>
      <c r="H43" s="402" t="str">
        <f t="shared" si="5"/>
        <v>要確認103</v>
      </c>
      <c r="I43" s="396"/>
      <c r="J43" s="337"/>
      <c r="K43" s="337"/>
      <c r="L43" s="337"/>
      <c r="M43" s="337"/>
      <c r="N43" s="337"/>
      <c r="O43" s="337"/>
      <c r="P43" s="337"/>
      <c r="Q43" s="337"/>
      <c r="R43" s="578" t="str">
        <f>IF(AND(D43=0,F43=0)=TRUE,"要確認103",IF(D43=0,"要確認104",IF(F43=0,"要確認105",IF(D43&lt;F43,"要確認106",IF(S43&lt;90,"要確認109","OK")))))</f>
        <v>要確認103</v>
      </c>
      <c r="S43" s="577" t="e">
        <f>IF(F43="","",(F43/D43)*100)</f>
        <v>#DIV/0!</v>
      </c>
      <c r="T43" s="226"/>
      <c r="U43" s="237"/>
      <c r="V43" s="272"/>
      <c r="W43" s="316"/>
      <c r="Z43" s="1036">
        <f t="shared" si="1"/>
        <v>40</v>
      </c>
      <c r="AA43" s="1745" t="s">
        <v>809</v>
      </c>
      <c r="AB43" s="1743" t="s">
        <v>1991</v>
      </c>
      <c r="AC43" s="1721" t="s">
        <v>1939</v>
      </c>
      <c r="AD43" s="1721">
        <v>74</v>
      </c>
      <c r="AE43" s="1722">
        <v>15</v>
      </c>
      <c r="AF43" s="1723" t="s">
        <v>1938</v>
      </c>
      <c r="AG43" s="1724" t="str">
        <f t="shared" si="0"/>
        <v>K67</v>
      </c>
      <c r="AH43" s="1725">
        <v>67</v>
      </c>
      <c r="AI43" s="1726">
        <v>11</v>
      </c>
      <c r="AJ43" s="1036"/>
      <c r="AK43" s="1036"/>
      <c r="AN43" s="1936"/>
      <c r="AO43" s="1937"/>
      <c r="AP43" s="1932"/>
    </row>
    <row r="44" spans="1:42" s="192" customFormat="1" ht="32.25" customHeight="1">
      <c r="A44" s="355" t="s">
        <v>0</v>
      </c>
      <c r="B44" s="225"/>
      <c r="C44" s="353"/>
      <c r="D44" s="353"/>
      <c r="E44" s="353"/>
      <c r="F44" s="237"/>
      <c r="G44" s="237"/>
      <c r="H44" s="226"/>
      <c r="I44" s="227"/>
      <c r="J44" s="368"/>
      <c r="K44" s="368"/>
      <c r="L44" s="368"/>
      <c r="M44" s="368"/>
      <c r="N44" s="368"/>
      <c r="O44" s="368"/>
      <c r="P44" s="368"/>
      <c r="Q44" s="368"/>
      <c r="R44" s="316"/>
      <c r="S44" s="316"/>
      <c r="T44" s="316"/>
      <c r="U44" s="237"/>
      <c r="V44" s="272"/>
      <c r="W44" s="316"/>
      <c r="Z44" s="1036">
        <f t="shared" si="1"/>
        <v>41</v>
      </c>
      <c r="AA44" s="1746"/>
      <c r="AB44" s="1736" t="s">
        <v>814</v>
      </c>
      <c r="AC44" s="1721" t="s">
        <v>1939</v>
      </c>
      <c r="AD44" s="1721">
        <v>75</v>
      </c>
      <c r="AE44" s="1722">
        <v>16</v>
      </c>
      <c r="AF44" s="1723" t="s">
        <v>1938</v>
      </c>
      <c r="AG44" s="1724" t="str">
        <f t="shared" si="0"/>
        <v>K73</v>
      </c>
      <c r="AH44" s="1725">
        <v>73</v>
      </c>
      <c r="AI44" s="1726">
        <v>11</v>
      </c>
      <c r="AJ44" s="1036"/>
      <c r="AK44" s="1036"/>
      <c r="AN44" s="1933"/>
      <c r="AO44" s="1938"/>
      <c r="AP44" s="1931"/>
    </row>
    <row r="45" spans="1:42" s="192" customFormat="1" ht="30" customHeight="1">
      <c r="A45" s="277"/>
      <c r="B45" s="265" t="s">
        <v>859</v>
      </c>
      <c r="C45" s="266"/>
      <c r="D45" s="2027">
        <f>元請調査票データ!H173</f>
        <v>0</v>
      </c>
      <c r="E45" s="358" t="s">
        <v>204</v>
      </c>
      <c r="F45" s="356" t="str">
        <f>IF(D45=0,"","元請ファイルに未入力箇所があります。元請ファイルを修正してください。")</f>
        <v/>
      </c>
      <c r="G45" s="357"/>
      <c r="H45" s="357"/>
      <c r="I45" s="266"/>
      <c r="J45" s="194"/>
      <c r="K45" s="194"/>
      <c r="L45" s="194"/>
      <c r="M45" s="194"/>
      <c r="N45" s="194"/>
      <c r="O45" s="194"/>
      <c r="P45" s="194"/>
      <c r="Q45" s="194"/>
      <c r="R45" s="316"/>
      <c r="S45" s="316"/>
      <c r="T45" s="316"/>
      <c r="U45" s="364"/>
      <c r="V45" s="272"/>
      <c r="W45" s="316"/>
      <c r="Z45" s="1036">
        <f t="shared" si="1"/>
        <v>42</v>
      </c>
      <c r="AA45" s="1739" t="s">
        <v>1992</v>
      </c>
      <c r="AB45" s="1720"/>
      <c r="AC45" s="1721" t="s">
        <v>1939</v>
      </c>
      <c r="AD45" s="1721">
        <v>76</v>
      </c>
      <c r="AE45" s="1722">
        <v>16</v>
      </c>
      <c r="AF45" s="1723" t="s">
        <v>1938</v>
      </c>
      <c r="AG45" s="1724" t="str">
        <f t="shared" si="0"/>
        <v>K74</v>
      </c>
      <c r="AH45" s="1725">
        <v>74</v>
      </c>
      <c r="AI45" s="1726">
        <v>11</v>
      </c>
      <c r="AJ45" s="1036"/>
      <c r="AK45" s="1036"/>
      <c r="AN45" s="4"/>
      <c r="AO45" s="194"/>
      <c r="AP45" s="1939"/>
    </row>
    <row r="46" spans="1:42" s="192" customFormat="1" ht="30" customHeight="1">
      <c r="A46" s="277"/>
      <c r="B46" s="265" t="s">
        <v>439</v>
      </c>
      <c r="C46" s="266"/>
      <c r="D46" s="359">
        <f>元請調査票データ!H174</f>
        <v>0</v>
      </c>
      <c r="E46" s="358" t="s">
        <v>204</v>
      </c>
      <c r="F46" s="356" t="str">
        <f>IF(D46=0,"","元請ファイルにエラー箇所があります。")</f>
        <v/>
      </c>
      <c r="G46" s="267"/>
      <c r="H46" s="267"/>
      <c r="I46" s="266"/>
      <c r="J46" s="194"/>
      <c r="K46" s="1824"/>
      <c r="L46" s="194"/>
      <c r="M46" s="194"/>
      <c r="N46" s="194"/>
      <c r="O46" s="1825"/>
      <c r="P46" s="1825"/>
      <c r="Q46" s="194"/>
      <c r="R46" s="316"/>
      <c r="S46" s="316"/>
      <c r="T46" s="316"/>
      <c r="U46" s="364"/>
      <c r="V46" s="272"/>
      <c r="W46" s="316"/>
      <c r="Z46" s="1036">
        <f t="shared" si="1"/>
        <v>43</v>
      </c>
      <c r="AA46" s="1747" t="s">
        <v>1993</v>
      </c>
      <c r="AB46" s="1736" t="s">
        <v>1994</v>
      </c>
      <c r="AC46" s="1721" t="s">
        <v>1939</v>
      </c>
      <c r="AD46" s="1721">
        <v>79</v>
      </c>
      <c r="AE46" s="1722">
        <v>15</v>
      </c>
      <c r="AF46" s="1723" t="s">
        <v>1938</v>
      </c>
      <c r="AG46" s="1724" t="str">
        <f t="shared" si="0"/>
        <v>K83</v>
      </c>
      <c r="AH46" s="1725">
        <v>83</v>
      </c>
      <c r="AI46" s="1726">
        <v>11</v>
      </c>
      <c r="AJ46" s="1036"/>
      <c r="AK46" s="1036"/>
      <c r="AN46" s="4"/>
      <c r="AO46" s="194"/>
      <c r="AP46" s="1939"/>
    </row>
    <row r="47" spans="1:42" s="192" customFormat="1" ht="30" customHeight="1">
      <c r="A47" s="334" t="s">
        <v>966</v>
      </c>
      <c r="C47" s="314"/>
      <c r="D47" s="314"/>
      <c r="E47" s="314"/>
      <c r="F47" s="314"/>
      <c r="G47" s="314"/>
      <c r="H47" s="314"/>
      <c r="J47" s="375"/>
      <c r="K47" s="59"/>
      <c r="L47" s="1464"/>
      <c r="M47" s="1464"/>
      <c r="N47" s="194"/>
      <c r="O47" s="1466"/>
      <c r="P47" s="1466"/>
      <c r="Q47" s="194"/>
      <c r="R47" s="316"/>
      <c r="S47" s="316"/>
      <c r="T47" s="316"/>
      <c r="U47" s="237"/>
      <c r="V47" s="272"/>
      <c r="W47" s="316"/>
      <c r="Z47" s="1036">
        <f t="shared" si="1"/>
        <v>44</v>
      </c>
      <c r="AA47" s="1741"/>
      <c r="AB47" s="1736" t="s">
        <v>1995</v>
      </c>
      <c r="AC47" s="1721" t="s">
        <v>1939</v>
      </c>
      <c r="AD47" s="1721">
        <v>80</v>
      </c>
      <c r="AE47" s="1722">
        <v>15</v>
      </c>
      <c r="AF47" s="1723" t="s">
        <v>1938</v>
      </c>
      <c r="AG47" s="1724" t="str">
        <f t="shared" si="0"/>
        <v>K84</v>
      </c>
      <c r="AH47" s="1725">
        <v>84</v>
      </c>
      <c r="AI47" s="1726">
        <v>11</v>
      </c>
      <c r="AJ47" s="1036"/>
      <c r="AK47" s="1036"/>
      <c r="AN47" s="194"/>
      <c r="AO47" s="1940"/>
      <c r="AP47" s="1940"/>
    </row>
    <row r="48" spans="1:42" s="192" customFormat="1" ht="31.5" customHeight="1">
      <c r="A48" s="277"/>
      <c r="B48" s="2654" t="s">
        <v>684</v>
      </c>
      <c r="C48" s="2655"/>
      <c r="D48" s="2655"/>
      <c r="E48" s="2655"/>
      <c r="F48" s="2655"/>
      <c r="G48" s="2655"/>
      <c r="H48" s="2655"/>
      <c r="I48" s="2655"/>
      <c r="J48" s="383"/>
      <c r="K48" s="1464"/>
      <c r="L48" s="59"/>
      <c r="M48" s="1464"/>
      <c r="N48" s="194"/>
      <c r="O48" s="1466"/>
      <c r="P48" s="1466"/>
      <c r="Q48" s="1244"/>
      <c r="R48" s="316"/>
      <c r="S48" s="226"/>
      <c r="T48" s="226"/>
      <c r="U48" s="237"/>
      <c r="V48" s="237"/>
      <c r="W48" s="316"/>
      <c r="Z48" s="1036">
        <f t="shared" si="1"/>
        <v>45</v>
      </c>
      <c r="AA48" s="1741"/>
      <c r="AB48" s="1736" t="s">
        <v>1996</v>
      </c>
      <c r="AC48" s="1721" t="s">
        <v>1939</v>
      </c>
      <c r="AD48" s="1721">
        <v>81</v>
      </c>
      <c r="AE48" s="1722">
        <v>15</v>
      </c>
      <c r="AF48" s="1723" t="s">
        <v>1938</v>
      </c>
      <c r="AG48" s="1724" t="str">
        <f t="shared" si="0"/>
        <v>K85</v>
      </c>
      <c r="AH48" s="1725">
        <v>85</v>
      </c>
      <c r="AI48" s="1726">
        <v>11</v>
      </c>
      <c r="AJ48" s="1036"/>
      <c r="AK48" s="1036"/>
      <c r="AN48" s="194"/>
      <c r="AO48" s="1940"/>
      <c r="AP48" s="1940"/>
    </row>
    <row r="49" spans="1:42" s="192" customFormat="1" ht="30.95" customHeight="1">
      <c r="A49" s="277"/>
      <c r="B49" s="2656"/>
      <c r="C49" s="2656"/>
      <c r="D49" s="2656"/>
      <c r="E49" s="2656"/>
      <c r="F49" s="2656"/>
      <c r="G49" s="2656"/>
      <c r="H49" s="2656"/>
      <c r="I49" s="2656"/>
      <c r="J49" s="384"/>
      <c r="K49" s="1826"/>
      <c r="L49" s="1464"/>
      <c r="M49" s="59"/>
      <c r="N49" s="194"/>
      <c r="O49" s="1466"/>
      <c r="P49" s="1466"/>
      <c r="Q49" s="1244"/>
      <c r="R49" s="226"/>
      <c r="S49" s="226"/>
      <c r="T49" s="226"/>
      <c r="U49" s="237"/>
      <c r="V49" s="237"/>
      <c r="W49" s="316"/>
      <c r="Z49" s="1036">
        <f t="shared" si="1"/>
        <v>46</v>
      </c>
      <c r="AA49" s="1741"/>
      <c r="AB49" s="1736" t="s">
        <v>1997</v>
      </c>
      <c r="AC49" s="1721" t="s">
        <v>1939</v>
      </c>
      <c r="AD49" s="1721">
        <v>82</v>
      </c>
      <c r="AE49" s="1722">
        <v>15</v>
      </c>
      <c r="AF49" s="1723" t="s">
        <v>1938</v>
      </c>
      <c r="AG49" s="1724" t="str">
        <f t="shared" si="0"/>
        <v>K86</v>
      </c>
      <c r="AH49" s="1725">
        <v>86</v>
      </c>
      <c r="AI49" s="1726">
        <v>11</v>
      </c>
      <c r="AJ49" s="1036"/>
      <c r="AK49" s="1036"/>
      <c r="AN49" s="194"/>
      <c r="AO49" s="1940"/>
      <c r="AP49" s="1940"/>
    </row>
    <row r="50" spans="1:42" s="192" customFormat="1" ht="30" customHeight="1">
      <c r="A50" s="277"/>
      <c r="B50" s="2679" t="s">
        <v>277</v>
      </c>
      <c r="C50" s="2679"/>
      <c r="D50" s="392" t="s">
        <v>41</v>
      </c>
      <c r="E50" s="393" t="s">
        <v>967</v>
      </c>
      <c r="F50" s="2686" t="s">
        <v>42</v>
      </c>
      <c r="G50" s="2686"/>
      <c r="H50" s="376" t="s">
        <v>276</v>
      </c>
      <c r="I50" s="232" t="s">
        <v>111</v>
      </c>
      <c r="J50" s="384"/>
      <c r="K50" s="1826"/>
      <c r="L50" s="59"/>
      <c r="M50" s="194"/>
      <c r="N50" s="59"/>
      <c r="O50" s="1466"/>
      <c r="P50" s="1466"/>
      <c r="Q50" s="1244"/>
      <c r="R50" s="226"/>
      <c r="S50" s="226"/>
      <c r="T50" s="226"/>
      <c r="U50" s="363"/>
      <c r="V50" s="365"/>
      <c r="W50" s="316"/>
      <c r="Z50" s="1036">
        <f t="shared" si="1"/>
        <v>47</v>
      </c>
      <c r="AA50" s="1741"/>
      <c r="AB50" s="1736" t="s">
        <v>1998</v>
      </c>
      <c r="AC50" s="1721" t="s">
        <v>1939</v>
      </c>
      <c r="AD50" s="1721">
        <v>83</v>
      </c>
      <c r="AE50" s="1722">
        <v>15</v>
      </c>
      <c r="AF50" s="1723" t="s">
        <v>1938</v>
      </c>
      <c r="AG50" s="1724" t="str">
        <f t="shared" si="0"/>
        <v>K87</v>
      </c>
      <c r="AH50" s="1725">
        <v>87</v>
      </c>
      <c r="AI50" s="1726">
        <v>11</v>
      </c>
      <c r="AJ50" s="1036"/>
      <c r="AK50" s="1036"/>
      <c r="AN50" s="1941"/>
      <c r="AO50" s="1941"/>
      <c r="AP50" s="1942"/>
    </row>
    <row r="51" spans="1:42" s="192" customFormat="1" ht="30" customHeight="1">
      <c r="A51" s="314">
        <v>1</v>
      </c>
      <c r="B51" s="2647" t="str">
        <f>IF(元請調査票データ!C177="","",元請調査票データ!C177)</f>
        <v/>
      </c>
      <c r="C51" s="2647"/>
      <c r="D51" s="394">
        <f>IF(元請調査票データ!G177="","",元請調査票データ!G177)</f>
        <v>0</v>
      </c>
      <c r="E51" s="428" t="str">
        <f>IF(元請調査票データ!H177="","",元請調査票データ!H177)</f>
        <v/>
      </c>
      <c r="F51" s="2648" t="str">
        <f>IF(OR(D51="",D51=0),"",E51/D51)</f>
        <v/>
      </c>
      <c r="G51" s="2649"/>
      <c r="H51" s="402" t="str">
        <f>IF(OR(D51="",D51=0),"",IF(I51="",R51,IF(AND(R51&lt;&gt;"OK",I51&lt;&gt;""),"要確認→OK",R51)))</f>
        <v/>
      </c>
      <c r="I51" s="395"/>
      <c r="J51" s="384"/>
      <c r="K51" s="1826"/>
      <c r="L51" s="59"/>
      <c r="M51" s="194"/>
      <c r="N51" s="59"/>
      <c r="O51" s="1466"/>
      <c r="P51" s="1466"/>
      <c r="Q51" s="1244"/>
      <c r="R51" s="497" t="e">
        <f>IF(D51="","",IF(E51/D51*100&gt;=20,"要確認107",IF(E51/D51*100&lt;=-20,"要確認108","OK")))</f>
        <v>#VALUE!</v>
      </c>
      <c r="S51" s="226"/>
      <c r="T51" s="226"/>
      <c r="U51" s="363"/>
      <c r="V51" s="365"/>
      <c r="W51" s="316"/>
      <c r="Z51" s="1036">
        <f t="shared" si="1"/>
        <v>48</v>
      </c>
      <c r="AA51" s="1741"/>
      <c r="AB51" s="1736" t="s">
        <v>1999</v>
      </c>
      <c r="AC51" s="1721" t="s">
        <v>1939</v>
      </c>
      <c r="AD51" s="1721">
        <v>84</v>
      </c>
      <c r="AE51" s="1722">
        <v>15</v>
      </c>
      <c r="AF51" s="1723" t="s">
        <v>1938</v>
      </c>
      <c r="AG51" s="1724" t="str">
        <f t="shared" si="0"/>
        <v>K88</v>
      </c>
      <c r="AH51" s="1725">
        <v>88</v>
      </c>
      <c r="AI51" s="1726">
        <v>11</v>
      </c>
      <c r="AJ51" s="1036"/>
      <c r="AK51" s="1036"/>
      <c r="AN51" s="1943"/>
      <c r="AO51" s="1943"/>
      <c r="AP51" s="1944"/>
    </row>
    <row r="52" spans="1:42" ht="30" customHeight="1">
      <c r="A52" s="314">
        <v>2</v>
      </c>
      <c r="B52" s="2647" t="str">
        <f>IF(元請調査票データ!C178="","",元請調査票データ!C178)</f>
        <v/>
      </c>
      <c r="C52" s="2647"/>
      <c r="D52" s="394">
        <f>IF(元請調査票データ!G178="","",元請調査票データ!G178)</f>
        <v>0</v>
      </c>
      <c r="E52" s="428" t="str">
        <f>IF(元請調査票データ!H178="","",元請調査票データ!H178)</f>
        <v/>
      </c>
      <c r="F52" s="2648" t="str">
        <f t="shared" ref="F52:F110" si="6">IF(OR(D52="",D52=0),"",E52/D52)</f>
        <v/>
      </c>
      <c r="G52" s="2649"/>
      <c r="H52" s="402" t="str">
        <f t="shared" ref="H52:H110" si="7">IF(OR(D52="",D52=0),"",IF(I52="",R52,IF(AND(R52&lt;&gt;"OK",I52&lt;&gt;""),"要確認→OK",R52)))</f>
        <v/>
      </c>
      <c r="I52" s="395"/>
      <c r="J52" s="384"/>
      <c r="K52" s="1826"/>
      <c r="L52" s="59"/>
      <c r="M52" s="194"/>
      <c r="N52" s="59"/>
      <c r="O52" s="1466"/>
      <c r="P52" s="1466"/>
      <c r="Q52" s="1244"/>
      <c r="R52" s="497" t="e">
        <f t="shared" ref="R52:R110" si="8">IF(D52="","",IF(E52/D52*100&gt;=20,"要確認107",IF(E52/D52*100&lt;=-20,"要確認108","OK")))</f>
        <v>#VALUE!</v>
      </c>
      <c r="U52" s="237"/>
      <c r="V52" s="272"/>
      <c r="Z52" s="1036">
        <f t="shared" si="1"/>
        <v>49</v>
      </c>
      <c r="AA52" s="1748"/>
      <c r="AB52" s="1743" t="s">
        <v>2000</v>
      </c>
      <c r="AC52" s="1721" t="s">
        <v>1939</v>
      </c>
      <c r="AD52" s="1721">
        <v>85</v>
      </c>
      <c r="AE52" s="1722">
        <v>15</v>
      </c>
      <c r="AF52" s="1723" t="s">
        <v>1938</v>
      </c>
      <c r="AG52" s="1724" t="str">
        <f t="shared" si="0"/>
        <v>K89</v>
      </c>
      <c r="AH52" s="1725">
        <v>89</v>
      </c>
      <c r="AI52" s="1726">
        <v>11</v>
      </c>
      <c r="AJ52" s="1036"/>
      <c r="AK52" s="1036"/>
      <c r="AN52" s="1943"/>
      <c r="AO52" s="1943"/>
      <c r="AP52" s="1944"/>
    </row>
    <row r="53" spans="1:42" ht="30" customHeight="1">
      <c r="A53" s="413">
        <v>3</v>
      </c>
      <c r="B53" s="2647" t="str">
        <f>IF(元請調査票データ!C179="","",元請調査票データ!C179)</f>
        <v/>
      </c>
      <c r="C53" s="2647"/>
      <c r="D53" s="394">
        <f>IF(元請調査票データ!G179="","",元請調査票データ!G179)</f>
        <v>0</v>
      </c>
      <c r="E53" s="428" t="str">
        <f>IF(元請調査票データ!H179="","",元請調査票データ!H179)</f>
        <v/>
      </c>
      <c r="F53" s="2648" t="str">
        <f t="shared" si="6"/>
        <v/>
      </c>
      <c r="G53" s="2649"/>
      <c r="H53" s="402" t="str">
        <f t="shared" si="7"/>
        <v/>
      </c>
      <c r="I53" s="395"/>
      <c r="J53" s="385"/>
      <c r="K53" s="1826"/>
      <c r="L53" s="59"/>
      <c r="M53" s="194"/>
      <c r="N53" s="59"/>
      <c r="O53" s="1466"/>
      <c r="P53" s="1466"/>
      <c r="Q53" s="1244"/>
      <c r="R53" s="497" t="e">
        <f t="shared" si="8"/>
        <v>#VALUE!</v>
      </c>
      <c r="U53" s="237"/>
      <c r="V53" s="237"/>
      <c r="Z53" s="1036">
        <f t="shared" si="1"/>
        <v>50</v>
      </c>
      <c r="AA53" s="1748"/>
      <c r="AB53" s="1743" t="s">
        <v>2001</v>
      </c>
      <c r="AC53" s="1721" t="s">
        <v>1939</v>
      </c>
      <c r="AD53" s="1721">
        <v>86</v>
      </c>
      <c r="AE53" s="1722">
        <v>15</v>
      </c>
      <c r="AF53" s="1723" t="s">
        <v>1938</v>
      </c>
      <c r="AG53" s="1724" t="str">
        <f t="shared" si="0"/>
        <v>K90</v>
      </c>
      <c r="AH53" s="1725">
        <v>90</v>
      </c>
      <c r="AI53" s="1726">
        <v>11</v>
      </c>
      <c r="AJ53" s="1036"/>
      <c r="AK53" s="1036"/>
      <c r="AN53" s="1943"/>
      <c r="AO53" s="1943"/>
      <c r="AP53" s="1944"/>
    </row>
    <row r="54" spans="1:42" ht="30" customHeight="1">
      <c r="A54" s="413">
        <v>4</v>
      </c>
      <c r="B54" s="2647" t="str">
        <f>IF(元請調査票データ!C180="","",元請調査票データ!C180)</f>
        <v/>
      </c>
      <c r="C54" s="2647"/>
      <c r="D54" s="394">
        <f>IF(元請調査票データ!G180="","",元請調査票データ!G180)</f>
        <v>0</v>
      </c>
      <c r="E54" s="428" t="str">
        <f>IF(元請調査票データ!H180="","",元請調査票データ!H180)</f>
        <v/>
      </c>
      <c r="F54" s="2648" t="str">
        <f t="shared" si="6"/>
        <v/>
      </c>
      <c r="G54" s="2649"/>
      <c r="H54" s="402" t="str">
        <f t="shared" si="7"/>
        <v/>
      </c>
      <c r="I54" s="395"/>
      <c r="J54" s="385"/>
      <c r="K54" s="1826"/>
      <c r="L54" s="59"/>
      <c r="M54" s="194"/>
      <c r="N54" s="59"/>
      <c r="O54" s="1466"/>
      <c r="P54" s="1466"/>
      <c r="Q54" s="1825"/>
      <c r="R54" s="497" t="e">
        <f t="shared" si="8"/>
        <v>#VALUE!</v>
      </c>
      <c r="U54" s="237"/>
      <c r="V54" s="237"/>
      <c r="Z54" s="1036">
        <f t="shared" si="1"/>
        <v>51</v>
      </c>
      <c r="AA54" s="1748"/>
      <c r="AB54" s="1743" t="s">
        <v>2002</v>
      </c>
      <c r="AC54" s="1721" t="s">
        <v>1939</v>
      </c>
      <c r="AD54" s="1721">
        <v>87</v>
      </c>
      <c r="AE54" s="1722">
        <v>15</v>
      </c>
      <c r="AF54" s="1723" t="s">
        <v>1938</v>
      </c>
      <c r="AG54" s="1724" t="str">
        <f t="shared" si="0"/>
        <v>K91</v>
      </c>
      <c r="AH54" s="1725">
        <v>91</v>
      </c>
      <c r="AI54" s="1726">
        <v>11</v>
      </c>
      <c r="AJ54" s="1036"/>
      <c r="AK54" s="1036"/>
      <c r="AN54" s="1943"/>
      <c r="AO54" s="1943"/>
      <c r="AP54" s="1944"/>
    </row>
    <row r="55" spans="1:42" ht="30" customHeight="1">
      <c r="A55" s="413">
        <v>5</v>
      </c>
      <c r="B55" s="2647" t="str">
        <f>IF(元請調査票データ!C181="","",元請調査票データ!C181)</f>
        <v/>
      </c>
      <c r="C55" s="2647"/>
      <c r="D55" s="394">
        <f>IF(元請調査票データ!G181="","",元請調査票データ!G181)</f>
        <v>0</v>
      </c>
      <c r="E55" s="428" t="str">
        <f>IF(元請調査票データ!H181="","",元請調査票データ!H181)</f>
        <v/>
      </c>
      <c r="F55" s="2648" t="str">
        <f t="shared" si="6"/>
        <v/>
      </c>
      <c r="G55" s="2649"/>
      <c r="H55" s="402" t="str">
        <f t="shared" si="7"/>
        <v/>
      </c>
      <c r="I55" s="395"/>
      <c r="J55" s="385"/>
      <c r="K55" s="1826"/>
      <c r="L55" s="59"/>
      <c r="M55" s="194"/>
      <c r="N55" s="59"/>
      <c r="O55" s="1466"/>
      <c r="P55" s="1466"/>
      <c r="Q55" s="1825"/>
      <c r="R55" s="497" t="e">
        <f t="shared" si="8"/>
        <v>#VALUE!</v>
      </c>
      <c r="U55" s="237"/>
      <c r="V55" s="272"/>
      <c r="Z55" s="1036">
        <f t="shared" si="1"/>
        <v>52</v>
      </c>
      <c r="AA55" s="1748"/>
      <c r="AB55" s="1743" t="s">
        <v>2003</v>
      </c>
      <c r="AC55" s="1721" t="s">
        <v>1939</v>
      </c>
      <c r="AD55" s="1721">
        <v>88</v>
      </c>
      <c r="AE55" s="1722">
        <v>15</v>
      </c>
      <c r="AF55" s="1723" t="s">
        <v>1938</v>
      </c>
      <c r="AG55" s="1724" t="str">
        <f t="shared" si="0"/>
        <v>K92</v>
      </c>
      <c r="AH55" s="1725">
        <v>92</v>
      </c>
      <c r="AI55" s="1726">
        <v>11</v>
      </c>
      <c r="AJ55" s="1036"/>
      <c r="AK55" s="1036"/>
      <c r="AN55" s="1943"/>
      <c r="AO55" s="1943"/>
      <c r="AP55" s="1944"/>
    </row>
    <row r="56" spans="1:42" s="192" customFormat="1" ht="30" customHeight="1">
      <c r="A56" s="413">
        <v>6</v>
      </c>
      <c r="B56" s="2647" t="str">
        <f>IF(元請調査票データ!C182="","",元請調査票データ!C182)</f>
        <v/>
      </c>
      <c r="C56" s="2647"/>
      <c r="D56" s="394">
        <f>IF(元請調査票データ!G182="","",元請調査票データ!G182)</f>
        <v>0</v>
      </c>
      <c r="E56" s="428" t="str">
        <f>IF(元請調査票データ!H182="","",元請調査票データ!H182)</f>
        <v/>
      </c>
      <c r="F56" s="2648" t="str">
        <f t="shared" si="6"/>
        <v/>
      </c>
      <c r="G56" s="2649"/>
      <c r="H56" s="402" t="str">
        <f t="shared" si="7"/>
        <v/>
      </c>
      <c r="I56" s="395"/>
      <c r="J56" s="384"/>
      <c r="K56" s="194"/>
      <c r="L56" s="194"/>
      <c r="M56" s="194"/>
      <c r="N56" s="194"/>
      <c r="O56" s="1466"/>
      <c r="P56" s="1466"/>
      <c r="Q56" s="1825"/>
      <c r="R56" s="497" t="e">
        <f t="shared" si="8"/>
        <v>#VALUE!</v>
      </c>
      <c r="S56" s="226"/>
      <c r="T56" s="226"/>
      <c r="U56" s="363"/>
      <c r="V56" s="365"/>
      <c r="W56" s="316"/>
      <c r="Z56" s="1036">
        <f t="shared" si="1"/>
        <v>53</v>
      </c>
      <c r="AA56" s="1775"/>
      <c r="AB56" s="1743" t="s">
        <v>2017</v>
      </c>
      <c r="AC56" s="1721" t="s">
        <v>1939</v>
      </c>
      <c r="AD56" s="1721">
        <v>89</v>
      </c>
      <c r="AE56" s="1722">
        <v>15</v>
      </c>
      <c r="AF56" s="1723" t="s">
        <v>1938</v>
      </c>
      <c r="AG56" s="1724" t="str">
        <f t="shared" ref="AG56" si="9">VLOOKUP(AI56,$AJ$4:$AK$29,2,0) &amp; AH56</f>
        <v>K93</v>
      </c>
      <c r="AH56" s="1725">
        <v>93</v>
      </c>
      <c r="AI56" s="1726">
        <v>11</v>
      </c>
      <c r="AJ56" s="1036"/>
      <c r="AK56" s="1036"/>
      <c r="AN56" s="1943"/>
      <c r="AO56" s="1943"/>
      <c r="AP56" s="1944"/>
    </row>
    <row r="57" spans="1:42" s="192" customFormat="1" ht="30" customHeight="1">
      <c r="A57" s="413">
        <v>7</v>
      </c>
      <c r="B57" s="2647" t="str">
        <f>IF(元請調査票データ!C183="","",元請調査票データ!C183)</f>
        <v/>
      </c>
      <c r="C57" s="2647"/>
      <c r="D57" s="394">
        <f>IF(元請調査票データ!G183="","",元請調査票データ!G183)</f>
        <v>0</v>
      </c>
      <c r="E57" s="428" t="str">
        <f>IF(元請調査票データ!H183="","",元請調査票データ!H183)</f>
        <v/>
      </c>
      <c r="F57" s="2648" t="str">
        <f t="shared" si="6"/>
        <v/>
      </c>
      <c r="G57" s="2649"/>
      <c r="H57" s="402" t="str">
        <f t="shared" si="7"/>
        <v/>
      </c>
      <c r="I57" s="395"/>
      <c r="J57" s="384"/>
      <c r="K57" s="1826"/>
      <c r="L57" s="59"/>
      <c r="M57" s="194"/>
      <c r="N57" s="59"/>
      <c r="O57" s="1466"/>
      <c r="P57" s="1466"/>
      <c r="Q57" s="1825"/>
      <c r="R57" s="497" t="e">
        <f t="shared" si="8"/>
        <v>#VALUE!</v>
      </c>
      <c r="S57" s="226"/>
      <c r="T57" s="226"/>
      <c r="U57" s="237"/>
      <c r="V57" s="272"/>
      <c r="W57" s="316"/>
      <c r="Z57" s="1036">
        <f t="shared" si="1"/>
        <v>54</v>
      </c>
      <c r="AA57" s="1749" t="s">
        <v>37</v>
      </c>
      <c r="AB57" s="1733"/>
      <c r="AC57" s="1721" t="s">
        <v>1939</v>
      </c>
      <c r="AD57" s="1750">
        <v>90</v>
      </c>
      <c r="AE57" s="1751">
        <v>16</v>
      </c>
      <c r="AF57" s="1752" t="s">
        <v>1938</v>
      </c>
      <c r="AG57" s="1753" t="str">
        <f t="shared" si="0"/>
        <v>K108</v>
      </c>
      <c r="AH57" s="1754">
        <v>108</v>
      </c>
      <c r="AI57" s="1726">
        <v>11</v>
      </c>
      <c r="AJ57" s="1036"/>
      <c r="AK57" s="1036"/>
      <c r="AN57" s="1943"/>
      <c r="AO57" s="1943"/>
      <c r="AP57" s="1944"/>
    </row>
    <row r="58" spans="1:42" s="192" customFormat="1" ht="30" customHeight="1">
      <c r="A58" s="413">
        <v>8</v>
      </c>
      <c r="B58" s="2647" t="str">
        <f>IF(元請調査票データ!C184="","",元請調査票データ!C184)</f>
        <v/>
      </c>
      <c r="C58" s="2647"/>
      <c r="D58" s="394">
        <f>IF(元請調査票データ!G184="","",元請調査票データ!G184)</f>
        <v>0</v>
      </c>
      <c r="E58" s="428" t="str">
        <f>IF(元請調査票データ!H184="","",元請調査票データ!H184)</f>
        <v/>
      </c>
      <c r="F58" s="2648" t="str">
        <f t="shared" si="6"/>
        <v/>
      </c>
      <c r="G58" s="2649"/>
      <c r="H58" s="402" t="str">
        <f t="shared" si="7"/>
        <v/>
      </c>
      <c r="I58" s="395"/>
      <c r="J58" s="384"/>
      <c r="K58" s="1826"/>
      <c r="L58" s="59"/>
      <c r="M58" s="194"/>
      <c r="N58" s="59"/>
      <c r="O58" s="1466"/>
      <c r="P58" s="1466"/>
      <c r="Q58" s="1825"/>
      <c r="R58" s="497" t="e">
        <f t="shared" si="8"/>
        <v>#VALUE!</v>
      </c>
      <c r="S58" s="226"/>
      <c r="T58" s="226"/>
      <c r="U58" s="237"/>
      <c r="V58" s="237"/>
      <c r="W58" s="316"/>
      <c r="Z58" s="1036">
        <f t="shared" si="1"/>
        <v>55</v>
      </c>
      <c r="AA58" s="1749" t="s">
        <v>2004</v>
      </c>
      <c r="AB58" s="1733"/>
      <c r="AC58" s="1721" t="s">
        <v>1939</v>
      </c>
      <c r="AD58" s="1721">
        <v>91</v>
      </c>
      <c r="AE58" s="1751">
        <v>16</v>
      </c>
      <c r="AF58" s="1723" t="s">
        <v>1938</v>
      </c>
      <c r="AG58" s="1724" t="str">
        <f t="shared" si="0"/>
        <v>K109</v>
      </c>
      <c r="AH58" s="1725">
        <v>109</v>
      </c>
      <c r="AI58" s="1726">
        <v>11</v>
      </c>
      <c r="AJ58" s="1036"/>
      <c r="AK58" s="1036"/>
      <c r="AN58" s="1943"/>
      <c r="AO58" s="1943"/>
      <c r="AP58" s="1944"/>
    </row>
    <row r="59" spans="1:42" s="192" customFormat="1" ht="30" customHeight="1">
      <c r="A59" s="413">
        <v>9</v>
      </c>
      <c r="B59" s="2647" t="str">
        <f>IF(元請調査票データ!C185="","",元請調査票データ!C185)</f>
        <v/>
      </c>
      <c r="C59" s="2647"/>
      <c r="D59" s="394">
        <f>IF(元請調査票データ!G185="","",元請調査票データ!G185)</f>
        <v>0</v>
      </c>
      <c r="E59" s="428" t="str">
        <f>IF(元請調査票データ!H185="","",元請調査票データ!H185)</f>
        <v/>
      </c>
      <c r="F59" s="2648" t="str">
        <f t="shared" si="6"/>
        <v/>
      </c>
      <c r="G59" s="2649"/>
      <c r="H59" s="402" t="str">
        <f t="shared" si="7"/>
        <v/>
      </c>
      <c r="I59" s="395"/>
      <c r="J59" s="384"/>
      <c r="K59" s="1826"/>
      <c r="L59" s="59"/>
      <c r="M59" s="194"/>
      <c r="N59" s="59"/>
      <c r="O59" s="1466"/>
      <c r="P59" s="1466"/>
      <c r="Q59" s="1825"/>
      <c r="R59" s="497" t="e">
        <f t="shared" si="8"/>
        <v>#VALUE!</v>
      </c>
      <c r="S59" s="226"/>
      <c r="T59" s="226"/>
      <c r="U59" s="237"/>
      <c r="V59" s="237"/>
      <c r="W59" s="316"/>
      <c r="Z59" s="1036">
        <f t="shared" si="1"/>
        <v>56</v>
      </c>
      <c r="AA59" s="1749" t="s">
        <v>38</v>
      </c>
      <c r="AB59" s="1733"/>
      <c r="AC59" s="1721" t="s">
        <v>1939</v>
      </c>
      <c r="AD59" s="1750">
        <v>92</v>
      </c>
      <c r="AE59" s="1751">
        <v>16</v>
      </c>
      <c r="AF59" s="1723" t="s">
        <v>1938</v>
      </c>
      <c r="AG59" s="1724" t="str">
        <f t="shared" si="0"/>
        <v>K110</v>
      </c>
      <c r="AH59" s="1725">
        <v>110</v>
      </c>
      <c r="AI59" s="1726">
        <v>11</v>
      </c>
      <c r="AJ59" s="1036"/>
      <c r="AK59" s="1036"/>
      <c r="AN59" s="1943"/>
      <c r="AO59" s="1943"/>
      <c r="AP59" s="1944"/>
    </row>
    <row r="60" spans="1:42" s="192" customFormat="1" ht="30" customHeight="1">
      <c r="A60" s="413">
        <v>10</v>
      </c>
      <c r="B60" s="2647" t="str">
        <f>IF(元請調査票データ!C186="","",元請調査票データ!C186)</f>
        <v/>
      </c>
      <c r="C60" s="2647"/>
      <c r="D60" s="394">
        <f>IF(元請調査票データ!G186="","",元請調査票データ!G186)</f>
        <v>0</v>
      </c>
      <c r="E60" s="428" t="str">
        <f>IF(元請調査票データ!H186="","",元請調査票データ!H186)</f>
        <v/>
      </c>
      <c r="F60" s="2648" t="str">
        <f t="shared" si="6"/>
        <v/>
      </c>
      <c r="G60" s="2649"/>
      <c r="H60" s="402" t="str">
        <f t="shared" si="7"/>
        <v/>
      </c>
      <c r="I60" s="395"/>
      <c r="J60" s="384"/>
      <c r="K60" s="1826"/>
      <c r="L60" s="59"/>
      <c r="M60" s="194"/>
      <c r="N60" s="59"/>
      <c r="O60" s="1466"/>
      <c r="P60" s="1466"/>
      <c r="Q60" s="1825"/>
      <c r="R60" s="497" t="e">
        <f t="shared" si="8"/>
        <v>#VALUE!</v>
      </c>
      <c r="S60" s="226"/>
      <c r="T60" s="226"/>
      <c r="U60" s="237"/>
      <c r="V60" s="272"/>
      <c r="W60" s="316"/>
      <c r="Z60" s="1036">
        <f t="shared" si="1"/>
        <v>57</v>
      </c>
      <c r="AA60" s="1749" t="s">
        <v>39</v>
      </c>
      <c r="AB60" s="1733"/>
      <c r="AC60" s="1721" t="s">
        <v>1939</v>
      </c>
      <c r="AD60" s="1721">
        <v>93</v>
      </c>
      <c r="AE60" s="1751">
        <v>16</v>
      </c>
      <c r="AF60" s="1723" t="s">
        <v>1938</v>
      </c>
      <c r="AG60" s="1724" t="str">
        <f t="shared" si="0"/>
        <v>K111</v>
      </c>
      <c r="AH60" s="1725">
        <v>111</v>
      </c>
      <c r="AI60" s="1726">
        <v>11</v>
      </c>
      <c r="AJ60" s="1036"/>
      <c r="AK60" s="1036"/>
      <c r="AN60" s="1943"/>
      <c r="AO60" s="1943"/>
      <c r="AP60" s="1944"/>
    </row>
    <row r="61" spans="1:42" ht="30" customHeight="1">
      <c r="A61" s="413">
        <v>11</v>
      </c>
      <c r="B61" s="2647" t="str">
        <f>IF(元請調査票データ!C187="","",元請調査票データ!C187)</f>
        <v/>
      </c>
      <c r="C61" s="2647"/>
      <c r="D61" s="394">
        <f>IF(元請調査票データ!G187="","",元請調査票データ!G187)</f>
        <v>0</v>
      </c>
      <c r="E61" s="428" t="str">
        <f>IF(元請調査票データ!H187="","",元請調査票データ!H187)</f>
        <v/>
      </c>
      <c r="F61" s="2648" t="str">
        <f t="shared" si="6"/>
        <v/>
      </c>
      <c r="G61" s="2649"/>
      <c r="H61" s="402" t="str">
        <f t="shared" si="7"/>
        <v/>
      </c>
      <c r="I61" s="395"/>
      <c r="J61" s="384"/>
      <c r="K61" s="1826"/>
      <c r="L61" s="59"/>
      <c r="M61" s="194"/>
      <c r="N61" s="59"/>
      <c r="O61" s="1466"/>
      <c r="P61" s="1466"/>
      <c r="Q61" s="1825"/>
      <c r="R61" s="497" t="e">
        <f t="shared" si="8"/>
        <v>#VALUE!</v>
      </c>
      <c r="U61" s="363"/>
      <c r="V61" s="365"/>
      <c r="Z61" s="1036">
        <f t="shared" si="1"/>
        <v>58</v>
      </c>
      <c r="AA61" s="1749" t="s">
        <v>2005</v>
      </c>
      <c r="AB61" s="1733"/>
      <c r="AC61" s="1721" t="s">
        <v>1939</v>
      </c>
      <c r="AD61" s="1750">
        <v>94</v>
      </c>
      <c r="AE61" s="1751">
        <v>16</v>
      </c>
      <c r="AF61" s="1723" t="s">
        <v>1938</v>
      </c>
      <c r="AG61" s="1724" t="str">
        <f t="shared" si="0"/>
        <v>K112</v>
      </c>
      <c r="AH61" s="1725">
        <v>112</v>
      </c>
      <c r="AI61" s="1726">
        <v>11</v>
      </c>
      <c r="AJ61" s="1036"/>
      <c r="AK61" s="1036"/>
      <c r="AN61" s="1943"/>
      <c r="AO61" s="1943"/>
      <c r="AP61" s="1944"/>
    </row>
    <row r="62" spans="1:42" ht="30" customHeight="1">
      <c r="A62" s="413">
        <v>12</v>
      </c>
      <c r="B62" s="2647" t="str">
        <f>IF(元請調査票データ!C188="","",元請調査票データ!C188)</f>
        <v/>
      </c>
      <c r="C62" s="2647"/>
      <c r="D62" s="394">
        <f>IF(元請調査票データ!G188="","",元請調査票データ!G188)</f>
        <v>0</v>
      </c>
      <c r="E62" s="428" t="str">
        <f>IF(元請調査票データ!H188="","",元請調査票データ!H188)</f>
        <v/>
      </c>
      <c r="F62" s="2648" t="str">
        <f t="shared" si="6"/>
        <v/>
      </c>
      <c r="G62" s="2649"/>
      <c r="H62" s="402" t="str">
        <f t="shared" si="7"/>
        <v/>
      </c>
      <c r="I62" s="395"/>
      <c r="J62" s="384"/>
      <c r="K62" s="1826"/>
      <c r="L62" s="59"/>
      <c r="M62" s="194"/>
      <c r="N62" s="59"/>
      <c r="O62" s="1466"/>
      <c r="P62" s="1466"/>
      <c r="Q62" s="1825"/>
      <c r="R62" s="497" t="e">
        <f t="shared" si="8"/>
        <v>#VALUE!</v>
      </c>
      <c r="U62" s="237"/>
      <c r="V62" s="272"/>
      <c r="Z62" s="1036">
        <f t="shared" si="1"/>
        <v>59</v>
      </c>
      <c r="AA62" s="1749" t="s">
        <v>2018</v>
      </c>
      <c r="AB62" s="1733"/>
      <c r="AC62" s="1721" t="s">
        <v>1939</v>
      </c>
      <c r="AD62" s="1750">
        <v>95</v>
      </c>
      <c r="AE62" s="1751">
        <v>16</v>
      </c>
      <c r="AF62" s="1723" t="s">
        <v>1938</v>
      </c>
      <c r="AG62" s="1724" t="str">
        <f t="shared" si="0"/>
        <v>K113</v>
      </c>
      <c r="AH62" s="1725">
        <v>113</v>
      </c>
      <c r="AI62" s="1726">
        <v>11</v>
      </c>
      <c r="AJ62" s="1036"/>
      <c r="AK62" s="1036"/>
      <c r="AN62" s="1943"/>
      <c r="AO62" s="1943"/>
      <c r="AP62" s="1944"/>
    </row>
    <row r="63" spans="1:42" ht="30" customHeight="1">
      <c r="A63" s="413">
        <v>13</v>
      </c>
      <c r="B63" s="2647" t="str">
        <f>IF(元請調査票データ!C189="","",元請調査票データ!C189)</f>
        <v/>
      </c>
      <c r="C63" s="2647"/>
      <c r="D63" s="394">
        <f>IF(元請調査票データ!G189="","",元請調査票データ!G189)</f>
        <v>0</v>
      </c>
      <c r="E63" s="428" t="str">
        <f>IF(元請調査票データ!H189="","",元請調査票データ!H189)</f>
        <v/>
      </c>
      <c r="F63" s="2648" t="str">
        <f t="shared" si="6"/>
        <v/>
      </c>
      <c r="G63" s="2649"/>
      <c r="H63" s="402" t="str">
        <f t="shared" si="7"/>
        <v/>
      </c>
      <c r="I63" s="395"/>
      <c r="J63" s="384"/>
      <c r="K63" s="1826"/>
      <c r="L63" s="59"/>
      <c r="M63" s="194"/>
      <c r="N63" s="59"/>
      <c r="O63" s="1466"/>
      <c r="P63" s="1466"/>
      <c r="Q63" s="1244"/>
      <c r="R63" s="497" t="e">
        <f t="shared" si="8"/>
        <v>#VALUE!</v>
      </c>
      <c r="U63" s="237"/>
      <c r="V63" s="237"/>
      <c r="Z63" s="1036">
        <f t="shared" si="1"/>
        <v>60</v>
      </c>
      <c r="AA63" s="1749" t="s">
        <v>2016</v>
      </c>
      <c r="AB63" s="1733"/>
      <c r="AC63" s="1721" t="s">
        <v>1939</v>
      </c>
      <c r="AD63" s="1750">
        <v>96</v>
      </c>
      <c r="AE63" s="1751">
        <v>16</v>
      </c>
      <c r="AF63" s="1723" t="s">
        <v>1938</v>
      </c>
      <c r="AG63" s="1724" t="str">
        <f t="shared" si="0"/>
        <v>K114</v>
      </c>
      <c r="AH63" s="1725">
        <v>114</v>
      </c>
      <c r="AI63" s="1726">
        <v>11</v>
      </c>
      <c r="AJ63" s="1036"/>
      <c r="AK63" s="1036"/>
      <c r="AN63" s="1943"/>
      <c r="AO63" s="1943"/>
      <c r="AP63" s="1944"/>
    </row>
    <row r="64" spans="1:42" ht="30" customHeight="1">
      <c r="A64" s="413">
        <v>14</v>
      </c>
      <c r="B64" s="2647" t="str">
        <f>IF(元請調査票データ!C190="","",元請調査票データ!C190)</f>
        <v/>
      </c>
      <c r="C64" s="2647"/>
      <c r="D64" s="394">
        <f>IF(元請調査票データ!G190="","",元請調査票データ!G190)</f>
        <v>0</v>
      </c>
      <c r="E64" s="428" t="str">
        <f>IF(元請調査票データ!H190="","",元請調査票データ!H190)</f>
        <v/>
      </c>
      <c r="F64" s="2648" t="str">
        <f t="shared" si="6"/>
        <v/>
      </c>
      <c r="G64" s="2649"/>
      <c r="H64" s="402" t="str">
        <f t="shared" si="7"/>
        <v/>
      </c>
      <c r="I64" s="395"/>
      <c r="J64" s="385"/>
      <c r="K64" s="59"/>
      <c r="L64" s="1464"/>
      <c r="M64" s="59"/>
      <c r="N64" s="194"/>
      <c r="O64" s="1466"/>
      <c r="P64" s="1466"/>
      <c r="Q64" s="1244"/>
      <c r="R64" s="497" t="e">
        <f t="shared" si="8"/>
        <v>#VALUE!</v>
      </c>
      <c r="U64" s="237"/>
      <c r="V64" s="237"/>
      <c r="Z64" s="1036">
        <f t="shared" si="1"/>
        <v>61</v>
      </c>
      <c r="AA64" s="1749" t="s">
        <v>40</v>
      </c>
      <c r="AB64" s="1733"/>
      <c r="AC64" s="1721" t="s">
        <v>1939</v>
      </c>
      <c r="AD64" s="1721">
        <v>97</v>
      </c>
      <c r="AE64" s="1751">
        <v>16</v>
      </c>
      <c r="AF64" s="1723" t="s">
        <v>1938</v>
      </c>
      <c r="AG64" s="1724" t="str">
        <f t="shared" si="0"/>
        <v>K119</v>
      </c>
      <c r="AH64" s="1725">
        <v>119</v>
      </c>
      <c r="AI64" s="1726">
        <v>11</v>
      </c>
      <c r="AJ64" s="1036"/>
      <c r="AK64" s="1036"/>
      <c r="AN64" s="1943"/>
      <c r="AO64" s="1943"/>
      <c r="AP64" s="1944"/>
    </row>
    <row r="65" spans="1:42" ht="30" customHeight="1">
      <c r="A65" s="413">
        <v>15</v>
      </c>
      <c r="B65" s="2647" t="str">
        <f>IF(元請調査票データ!C191="","",元請調査票データ!C191)</f>
        <v/>
      </c>
      <c r="C65" s="2647"/>
      <c r="D65" s="394">
        <f>IF(元請調査票データ!G191="","",元請調査票データ!G191)</f>
        <v>0</v>
      </c>
      <c r="E65" s="428" t="str">
        <f>IF(元請調査票データ!H191="","",元請調査票データ!H191)</f>
        <v/>
      </c>
      <c r="F65" s="2648" t="str">
        <f t="shared" si="6"/>
        <v/>
      </c>
      <c r="G65" s="2649"/>
      <c r="H65" s="402" t="str">
        <f t="shared" si="7"/>
        <v/>
      </c>
      <c r="I65" s="395"/>
      <c r="J65" s="385"/>
      <c r="K65" s="1826"/>
      <c r="L65" s="59"/>
      <c r="M65" s="194"/>
      <c r="N65" s="59"/>
      <c r="O65" s="1466"/>
      <c r="P65" s="1466"/>
      <c r="Q65" s="1244"/>
      <c r="R65" s="497" t="e">
        <f t="shared" si="8"/>
        <v>#VALUE!</v>
      </c>
      <c r="U65" s="237"/>
      <c r="V65" s="272"/>
      <c r="Z65" s="1036">
        <f t="shared" si="1"/>
        <v>62</v>
      </c>
      <c r="AA65" s="1745" t="s">
        <v>811</v>
      </c>
      <c r="AB65" s="1755" t="s">
        <v>2006</v>
      </c>
      <c r="AC65" s="1721" t="s">
        <v>1939</v>
      </c>
      <c r="AD65" s="1721">
        <v>100</v>
      </c>
      <c r="AE65" s="1722">
        <v>16</v>
      </c>
      <c r="AF65" s="1723" t="s">
        <v>1938</v>
      </c>
      <c r="AG65" s="1724" t="str">
        <f t="shared" si="0"/>
        <v>K121</v>
      </c>
      <c r="AH65" s="1725">
        <v>121</v>
      </c>
      <c r="AI65" s="1726">
        <v>11</v>
      </c>
      <c r="AJ65" s="1036"/>
      <c r="AK65" s="1036"/>
      <c r="AN65" s="1943"/>
      <c r="AO65" s="1943"/>
      <c r="AP65" s="1944"/>
    </row>
    <row r="66" spans="1:42" ht="30" customHeight="1">
      <c r="A66" s="413">
        <v>16</v>
      </c>
      <c r="B66" s="2647" t="str">
        <f>IF(元請調査票データ!C192="","",元請調査票データ!C192)</f>
        <v/>
      </c>
      <c r="C66" s="2647"/>
      <c r="D66" s="394">
        <f>IF(元請調査票データ!G192="","",元請調査票データ!G192)</f>
        <v>0</v>
      </c>
      <c r="E66" s="428" t="str">
        <f>IF(元請調査票データ!H192="","",元請調査票データ!H192)</f>
        <v/>
      </c>
      <c r="F66" s="2648" t="str">
        <f t="shared" si="6"/>
        <v/>
      </c>
      <c r="G66" s="2649"/>
      <c r="H66" s="402" t="str">
        <f t="shared" si="7"/>
        <v/>
      </c>
      <c r="I66" s="395"/>
      <c r="J66" s="385"/>
      <c r="K66" s="1826"/>
      <c r="L66" s="59"/>
      <c r="M66" s="194"/>
      <c r="N66" s="59"/>
      <c r="O66" s="1466"/>
      <c r="P66" s="1466"/>
      <c r="Q66" s="1244"/>
      <c r="R66" s="497" t="e">
        <f t="shared" si="8"/>
        <v>#VALUE!</v>
      </c>
      <c r="U66" s="237"/>
      <c r="V66" s="237"/>
      <c r="Z66" s="1036">
        <f t="shared" si="1"/>
        <v>63</v>
      </c>
      <c r="AA66" s="1756"/>
      <c r="AB66" s="1757" t="s">
        <v>2007</v>
      </c>
      <c r="AC66" s="1721" t="s">
        <v>1939</v>
      </c>
      <c r="AD66" s="1758">
        <v>101</v>
      </c>
      <c r="AE66" s="1722">
        <v>16</v>
      </c>
      <c r="AF66" s="1723" t="s">
        <v>1938</v>
      </c>
      <c r="AG66" s="1724" t="str">
        <f t="shared" si="0"/>
        <v>K122</v>
      </c>
      <c r="AH66" s="1725">
        <v>122</v>
      </c>
      <c r="AI66" s="1726">
        <v>11</v>
      </c>
      <c r="AJ66" s="1036"/>
      <c r="AK66" s="1036"/>
      <c r="AN66" s="1943"/>
      <c r="AO66" s="1943"/>
      <c r="AP66" s="1944"/>
    </row>
    <row r="67" spans="1:42" ht="30" customHeight="1">
      <c r="A67" s="413">
        <v>17</v>
      </c>
      <c r="B67" s="2647" t="str">
        <f>IF(元請調査票データ!C193="","",元請調査票データ!C193)</f>
        <v/>
      </c>
      <c r="C67" s="2647"/>
      <c r="D67" s="394">
        <f>IF(元請調査票データ!G193="","",元請調査票データ!G193)</f>
        <v>0</v>
      </c>
      <c r="E67" s="428" t="str">
        <f>IF(元請調査票データ!H193="","",元請調査票データ!H193)</f>
        <v/>
      </c>
      <c r="F67" s="2648" t="str">
        <f t="shared" si="6"/>
        <v/>
      </c>
      <c r="G67" s="2649"/>
      <c r="H67" s="402" t="str">
        <f t="shared" si="7"/>
        <v/>
      </c>
      <c r="I67" s="395"/>
      <c r="J67" s="385"/>
      <c r="K67" s="1826"/>
      <c r="L67" s="59"/>
      <c r="M67" s="194"/>
      <c r="N67" s="59"/>
      <c r="O67" s="1466"/>
      <c r="P67" s="1466"/>
      <c r="Q67" s="1244"/>
      <c r="R67" s="497" t="e">
        <f t="shared" si="8"/>
        <v>#VALUE!</v>
      </c>
      <c r="U67" s="272"/>
      <c r="V67" s="272"/>
      <c r="Z67" s="1036">
        <f t="shared" si="1"/>
        <v>64</v>
      </c>
      <c r="AA67" s="1759" t="s">
        <v>812</v>
      </c>
      <c r="AB67" s="1755" t="s">
        <v>2008</v>
      </c>
      <c r="AC67" s="1721" t="s">
        <v>1939</v>
      </c>
      <c r="AD67" s="1758">
        <v>103</v>
      </c>
      <c r="AE67" s="1722">
        <v>15</v>
      </c>
      <c r="AF67" s="1723" t="s">
        <v>1938</v>
      </c>
      <c r="AG67" s="1724" t="str">
        <f t="shared" si="0"/>
        <v>K129</v>
      </c>
      <c r="AH67" s="1725">
        <v>129</v>
      </c>
      <c r="AI67" s="1726">
        <v>11</v>
      </c>
      <c r="AJ67" s="1036"/>
      <c r="AK67" s="1036"/>
      <c r="AN67" s="1943"/>
      <c r="AO67" s="1943"/>
      <c r="AP67" s="1944"/>
    </row>
    <row r="68" spans="1:42" ht="30" customHeight="1">
      <c r="A68" s="413">
        <v>18</v>
      </c>
      <c r="B68" s="2647" t="str">
        <f>IF(元請調査票データ!C194="","",元請調査票データ!C194)</f>
        <v/>
      </c>
      <c r="C68" s="2647"/>
      <c r="D68" s="394">
        <f>IF(元請調査票データ!G194="","",元請調査票データ!G194)</f>
        <v>0</v>
      </c>
      <c r="E68" s="428" t="str">
        <f>IF(元請調査票データ!H194="","",元請調査票データ!H194)</f>
        <v/>
      </c>
      <c r="F68" s="2648" t="str">
        <f t="shared" si="6"/>
        <v/>
      </c>
      <c r="G68" s="2649"/>
      <c r="H68" s="402" t="str">
        <f t="shared" si="7"/>
        <v/>
      </c>
      <c r="I68" s="395"/>
      <c r="J68" s="385"/>
      <c r="K68" s="59"/>
      <c r="L68" s="59"/>
      <c r="M68" s="194"/>
      <c r="N68" s="194"/>
      <c r="O68" s="1466"/>
      <c r="P68" s="1466"/>
      <c r="Q68" s="1825"/>
      <c r="R68" s="497" t="e">
        <f t="shared" si="8"/>
        <v>#VALUE!</v>
      </c>
      <c r="U68" s="237"/>
      <c r="V68" s="272"/>
      <c r="Z68" s="1036">
        <f t="shared" si="1"/>
        <v>65</v>
      </c>
      <c r="AA68" s="1760"/>
      <c r="AB68" s="1755" t="s">
        <v>2009</v>
      </c>
      <c r="AC68" s="1721" t="s">
        <v>1939</v>
      </c>
      <c r="AD68" s="1758">
        <v>104</v>
      </c>
      <c r="AE68" s="1722">
        <v>16</v>
      </c>
      <c r="AF68" s="1723" t="s">
        <v>1938</v>
      </c>
      <c r="AG68" s="1724" t="str">
        <f t="shared" si="0"/>
        <v>K130</v>
      </c>
      <c r="AH68" s="1725">
        <v>130</v>
      </c>
      <c r="AI68" s="1726">
        <v>11</v>
      </c>
      <c r="AJ68" s="1036"/>
      <c r="AK68" s="1036"/>
      <c r="AN68" s="1943"/>
      <c r="AO68" s="1943"/>
      <c r="AP68" s="1944"/>
    </row>
    <row r="69" spans="1:42" ht="30" customHeight="1">
      <c r="A69" s="413">
        <v>19</v>
      </c>
      <c r="B69" s="2647" t="str">
        <f>IF(元請調査票データ!C195="","",元請調査票データ!C195)</f>
        <v/>
      </c>
      <c r="C69" s="2647"/>
      <c r="D69" s="394">
        <f>IF(元請調査票データ!G195="","",元請調査票データ!G195)</f>
        <v>0</v>
      </c>
      <c r="E69" s="428" t="str">
        <f>IF(元請調査票データ!H195="","",元請調査票データ!H195)</f>
        <v/>
      </c>
      <c r="F69" s="2648" t="str">
        <f t="shared" si="6"/>
        <v/>
      </c>
      <c r="G69" s="2649"/>
      <c r="H69" s="402" t="str">
        <f t="shared" si="7"/>
        <v/>
      </c>
      <c r="I69" s="395"/>
      <c r="J69" s="385"/>
      <c r="K69" s="1826"/>
      <c r="L69" s="1464"/>
      <c r="M69" s="59"/>
      <c r="N69" s="194"/>
      <c r="O69" s="1466"/>
      <c r="P69" s="1466"/>
      <c r="Q69" s="1244"/>
      <c r="R69" s="497" t="e">
        <f t="shared" si="8"/>
        <v>#VALUE!</v>
      </c>
      <c r="U69" s="237"/>
      <c r="V69" s="237"/>
      <c r="Z69" s="1036">
        <f t="shared" si="1"/>
        <v>66</v>
      </c>
      <c r="AA69" s="1760"/>
      <c r="AB69" s="1755" t="s">
        <v>2010</v>
      </c>
      <c r="AC69" s="1721" t="s">
        <v>1939</v>
      </c>
      <c r="AD69" s="1758">
        <v>105</v>
      </c>
      <c r="AE69" s="1722">
        <v>16</v>
      </c>
      <c r="AF69" s="1723" t="s">
        <v>1938</v>
      </c>
      <c r="AG69" s="1724" t="str">
        <f t="shared" si="0"/>
        <v>K131</v>
      </c>
      <c r="AH69" s="1725">
        <v>131</v>
      </c>
      <c r="AI69" s="1726">
        <v>11</v>
      </c>
      <c r="AJ69" s="1036"/>
      <c r="AK69" s="1036"/>
      <c r="AN69" s="1943"/>
      <c r="AO69" s="1943"/>
      <c r="AP69" s="1944"/>
    </row>
    <row r="70" spans="1:42" ht="30" customHeight="1">
      <c r="A70" s="413">
        <v>20</v>
      </c>
      <c r="B70" s="2647" t="str">
        <f>IF(元請調査票データ!C196="","",元請調査票データ!C196)</f>
        <v/>
      </c>
      <c r="C70" s="2647"/>
      <c r="D70" s="394">
        <f>IF(元請調査票データ!G196="","",元請調査票データ!G196)</f>
        <v>0</v>
      </c>
      <c r="E70" s="428" t="str">
        <f>IF(元請調査票データ!H196="","",元請調査票データ!H196)</f>
        <v/>
      </c>
      <c r="F70" s="2648" t="str">
        <f t="shared" si="6"/>
        <v/>
      </c>
      <c r="G70" s="2649"/>
      <c r="H70" s="402" t="str">
        <f t="shared" si="7"/>
        <v/>
      </c>
      <c r="I70" s="395"/>
      <c r="J70" s="385"/>
      <c r="K70" s="1826"/>
      <c r="L70" s="59"/>
      <c r="M70" s="194"/>
      <c r="N70" s="59"/>
      <c r="O70" s="1466"/>
      <c r="P70" s="1466"/>
      <c r="Q70" s="1244"/>
      <c r="R70" s="497" t="e">
        <f t="shared" si="8"/>
        <v>#VALUE!</v>
      </c>
      <c r="U70" s="237"/>
      <c r="V70" s="237"/>
      <c r="Z70" s="1036">
        <f t="shared" si="1"/>
        <v>67</v>
      </c>
      <c r="AA70" s="1760"/>
      <c r="AB70" s="1755" t="s">
        <v>2011</v>
      </c>
      <c r="AC70" s="1721" t="s">
        <v>1939</v>
      </c>
      <c r="AD70" s="1758">
        <v>106</v>
      </c>
      <c r="AE70" s="1722">
        <v>16</v>
      </c>
      <c r="AF70" s="1723" t="s">
        <v>1938</v>
      </c>
      <c r="AG70" s="1724" t="str">
        <f t="shared" si="0"/>
        <v>K133</v>
      </c>
      <c r="AH70" s="1725">
        <v>133</v>
      </c>
      <c r="AI70" s="1726">
        <v>11</v>
      </c>
      <c r="AJ70" s="1036"/>
      <c r="AK70" s="1036"/>
      <c r="AN70" s="1943"/>
      <c r="AO70" s="1943"/>
      <c r="AP70" s="1944"/>
    </row>
    <row r="71" spans="1:42" ht="30" customHeight="1">
      <c r="A71" s="413">
        <v>21</v>
      </c>
      <c r="B71" s="2647" t="str">
        <f>IF(元請調査票データ!C197="","",元請調査票データ!C197)</f>
        <v/>
      </c>
      <c r="C71" s="2647"/>
      <c r="D71" s="394">
        <f>IF(元請調査票データ!G197="","",元請調査票データ!G197)</f>
        <v>0</v>
      </c>
      <c r="E71" s="428" t="str">
        <f>IF(元請調査票データ!H197="","",元請調査票データ!H197)</f>
        <v/>
      </c>
      <c r="F71" s="2648" t="str">
        <f t="shared" si="6"/>
        <v/>
      </c>
      <c r="G71" s="2649"/>
      <c r="H71" s="402" t="str">
        <f t="shared" si="7"/>
        <v/>
      </c>
      <c r="I71" s="395"/>
      <c r="J71" s="385"/>
      <c r="K71" s="1826"/>
      <c r="L71" s="59"/>
      <c r="M71" s="194"/>
      <c r="N71" s="59"/>
      <c r="O71" s="1466"/>
      <c r="P71" s="1466"/>
      <c r="Q71" s="1244"/>
      <c r="R71" s="497" t="e">
        <f t="shared" si="8"/>
        <v>#VALUE!</v>
      </c>
      <c r="U71" s="237"/>
      <c r="V71" s="237"/>
      <c r="Z71" s="1036">
        <f t="shared" si="1"/>
        <v>68</v>
      </c>
      <c r="AA71" s="1760"/>
      <c r="AB71" s="1755" t="s">
        <v>2012</v>
      </c>
      <c r="AC71" s="1721" t="s">
        <v>1939</v>
      </c>
      <c r="AD71" s="1758">
        <v>107</v>
      </c>
      <c r="AE71" s="1722">
        <v>16</v>
      </c>
      <c r="AF71" s="1723" t="s">
        <v>1938</v>
      </c>
      <c r="AG71" s="1724" t="str">
        <f t="shared" ref="AG71:AG89" si="10">VLOOKUP(AI71,$AJ$4:$AK$29,2,0) &amp; AH71</f>
        <v>K134</v>
      </c>
      <c r="AH71" s="1725">
        <v>134</v>
      </c>
      <c r="AI71" s="1726">
        <v>11</v>
      </c>
      <c r="AJ71" s="1036"/>
      <c r="AK71" s="1036"/>
      <c r="AN71" s="1943"/>
      <c r="AO71" s="1943"/>
      <c r="AP71" s="1944"/>
    </row>
    <row r="72" spans="1:42" ht="30" customHeight="1">
      <c r="A72" s="413">
        <v>22</v>
      </c>
      <c r="B72" s="2647" t="str">
        <f>IF(元請調査票データ!C198="","",元請調査票データ!C198)</f>
        <v/>
      </c>
      <c r="C72" s="2647"/>
      <c r="D72" s="394">
        <f>IF(元請調査票データ!G198="","",元請調査票データ!G198)</f>
        <v>0</v>
      </c>
      <c r="E72" s="428" t="str">
        <f>IF(元請調査票データ!H198="","",元請調査票データ!H198)</f>
        <v/>
      </c>
      <c r="F72" s="2648" t="str">
        <f t="shared" si="6"/>
        <v/>
      </c>
      <c r="G72" s="2649"/>
      <c r="H72" s="402" t="str">
        <f t="shared" si="7"/>
        <v/>
      </c>
      <c r="I72" s="395"/>
      <c r="J72" s="385"/>
      <c r="K72" s="1826"/>
      <c r="L72" s="59"/>
      <c r="M72" s="194"/>
      <c r="N72" s="59"/>
      <c r="O72" s="1466"/>
      <c r="P72" s="1466"/>
      <c r="Q72" s="1244"/>
      <c r="R72" s="497" t="e">
        <f t="shared" si="8"/>
        <v>#VALUE!</v>
      </c>
      <c r="U72" s="237"/>
      <c r="V72" s="237"/>
      <c r="Z72" s="1036">
        <f t="shared" ref="Z72:Z116" si="11">Z71+1</f>
        <v>69</v>
      </c>
      <c r="AA72" s="1760"/>
      <c r="AB72" s="1755" t="s">
        <v>2013</v>
      </c>
      <c r="AC72" s="1721" t="s">
        <v>1939</v>
      </c>
      <c r="AD72" s="1758">
        <v>108</v>
      </c>
      <c r="AE72" s="1722">
        <v>16</v>
      </c>
      <c r="AF72" s="1723" t="s">
        <v>1938</v>
      </c>
      <c r="AG72" s="1724" t="str">
        <f t="shared" si="10"/>
        <v>K135</v>
      </c>
      <c r="AH72" s="1725">
        <v>135</v>
      </c>
      <c r="AI72" s="1726">
        <v>11</v>
      </c>
      <c r="AJ72" s="1036"/>
      <c r="AK72" s="1036"/>
      <c r="AN72" s="1943"/>
      <c r="AO72" s="1943"/>
      <c r="AP72" s="1944"/>
    </row>
    <row r="73" spans="1:42" ht="30" customHeight="1">
      <c r="A73" s="413">
        <v>23</v>
      </c>
      <c r="B73" s="2647" t="str">
        <f>IF(元請調査票データ!C199="","",元請調査票データ!C199)</f>
        <v/>
      </c>
      <c r="C73" s="2647"/>
      <c r="D73" s="394">
        <f>IF(元請調査票データ!G199="","",元請調査票データ!G199)</f>
        <v>0</v>
      </c>
      <c r="E73" s="428" t="str">
        <f>IF(元請調査票データ!H199="","",元請調査票データ!H199)</f>
        <v/>
      </c>
      <c r="F73" s="2648" t="str">
        <f t="shared" si="6"/>
        <v/>
      </c>
      <c r="G73" s="2649"/>
      <c r="H73" s="402" t="str">
        <f t="shared" si="7"/>
        <v/>
      </c>
      <c r="I73" s="395"/>
      <c r="J73" s="385"/>
      <c r="K73" s="1464"/>
      <c r="L73" s="59"/>
      <c r="M73" s="1464"/>
      <c r="N73" s="194"/>
      <c r="O73" s="1466"/>
      <c r="P73" s="1466"/>
      <c r="Q73" s="1244"/>
      <c r="R73" s="497" t="e">
        <f t="shared" si="8"/>
        <v>#VALUE!</v>
      </c>
      <c r="U73" s="237"/>
      <c r="V73" s="272"/>
      <c r="Z73" s="1036">
        <f t="shared" si="11"/>
        <v>70</v>
      </c>
      <c r="AA73" s="1761"/>
      <c r="AB73" s="1755" t="s">
        <v>814</v>
      </c>
      <c r="AC73" s="1721" t="s">
        <v>1939</v>
      </c>
      <c r="AD73" s="1758">
        <v>109</v>
      </c>
      <c r="AE73" s="1722">
        <v>16</v>
      </c>
      <c r="AF73" s="1723" t="s">
        <v>1938</v>
      </c>
      <c r="AG73" s="1724" t="str">
        <f t="shared" si="10"/>
        <v>K140</v>
      </c>
      <c r="AH73" s="1725">
        <v>140</v>
      </c>
      <c r="AI73" s="1726">
        <v>11</v>
      </c>
      <c r="AJ73" s="1036"/>
      <c r="AK73" s="1036"/>
      <c r="AN73" s="1943"/>
      <c r="AO73" s="1943"/>
      <c r="AP73" s="1944"/>
    </row>
    <row r="74" spans="1:42" ht="30" customHeight="1">
      <c r="A74" s="413">
        <v>24</v>
      </c>
      <c r="B74" s="2647" t="str">
        <f>IF(元請調査票データ!C200="","",元請調査票データ!C200)</f>
        <v/>
      </c>
      <c r="C74" s="2647"/>
      <c r="D74" s="394">
        <f>IF(元請調査票データ!G200="","",元請調査票データ!G200)</f>
        <v>0</v>
      </c>
      <c r="E74" s="428" t="str">
        <f>IF(元請調査票データ!H200="","",元請調査票データ!H200)</f>
        <v/>
      </c>
      <c r="F74" s="2648" t="str">
        <f t="shared" si="6"/>
        <v/>
      </c>
      <c r="G74" s="2649"/>
      <c r="H74" s="402" t="str">
        <f t="shared" si="7"/>
        <v/>
      </c>
      <c r="I74" s="395"/>
      <c r="J74" s="385"/>
      <c r="K74" s="1826"/>
      <c r="L74" s="1464"/>
      <c r="M74" s="59"/>
      <c r="N74" s="194"/>
      <c r="O74" s="1466"/>
      <c r="P74" s="1466"/>
      <c r="Q74" s="1244"/>
      <c r="R74" s="497" t="e">
        <f t="shared" si="8"/>
        <v>#VALUE!</v>
      </c>
      <c r="U74" s="237"/>
      <c r="V74" s="237"/>
      <c r="Z74" s="1036">
        <f t="shared" si="11"/>
        <v>71</v>
      </c>
      <c r="AA74" s="1759" t="s">
        <v>2014</v>
      </c>
      <c r="AB74" s="1755" t="s">
        <v>1013</v>
      </c>
      <c r="AC74" s="1721" t="s">
        <v>1939</v>
      </c>
      <c r="AD74" s="1758">
        <v>112</v>
      </c>
      <c r="AE74" s="1722">
        <v>15</v>
      </c>
      <c r="AF74" s="1723" t="s">
        <v>1938</v>
      </c>
      <c r="AG74" s="1724" t="str">
        <f t="shared" si="10"/>
        <v>K143</v>
      </c>
      <c r="AH74" s="1725">
        <v>143</v>
      </c>
      <c r="AI74" s="1726">
        <v>11</v>
      </c>
      <c r="AJ74" s="1036"/>
      <c r="AK74" s="1036"/>
      <c r="AN74" s="1943"/>
      <c r="AO74" s="1943"/>
      <c r="AP74" s="1944"/>
    </row>
    <row r="75" spans="1:42" ht="30" customHeight="1">
      <c r="A75" s="413">
        <v>25</v>
      </c>
      <c r="B75" s="2647" t="str">
        <f>IF(元請調査票データ!C201="","",元請調査票データ!C201)</f>
        <v/>
      </c>
      <c r="C75" s="2647"/>
      <c r="D75" s="394">
        <f>IF(元請調査票データ!G201="","",元請調査票データ!G201)</f>
        <v>0</v>
      </c>
      <c r="E75" s="428" t="str">
        <f>IF(元請調査票データ!H201="","",元請調査票データ!H201)</f>
        <v/>
      </c>
      <c r="F75" s="2648" t="str">
        <f t="shared" si="6"/>
        <v/>
      </c>
      <c r="G75" s="2649"/>
      <c r="H75" s="402" t="str">
        <f t="shared" si="7"/>
        <v/>
      </c>
      <c r="I75" s="395"/>
      <c r="J75" s="385"/>
      <c r="K75" s="1826"/>
      <c r="L75" s="1464"/>
      <c r="M75" s="59"/>
      <c r="N75" s="194"/>
      <c r="O75" s="1466"/>
      <c r="P75" s="1466"/>
      <c r="Q75" s="1244"/>
      <c r="R75" s="497" t="e">
        <f t="shared" si="8"/>
        <v>#VALUE!</v>
      </c>
      <c r="U75" s="237"/>
      <c r="V75" s="272"/>
      <c r="Z75" s="1036">
        <f t="shared" si="11"/>
        <v>72</v>
      </c>
      <c r="AA75" s="1756"/>
      <c r="AB75" s="1755" t="s">
        <v>1014</v>
      </c>
      <c r="AC75" s="1721" t="s">
        <v>1939</v>
      </c>
      <c r="AD75" s="1758">
        <v>113</v>
      </c>
      <c r="AE75" s="1722">
        <v>15</v>
      </c>
      <c r="AF75" s="1723" t="s">
        <v>1938</v>
      </c>
      <c r="AG75" s="1724" t="str">
        <f t="shared" si="10"/>
        <v>K144</v>
      </c>
      <c r="AH75" s="1725">
        <v>144</v>
      </c>
      <c r="AI75" s="1726">
        <v>11</v>
      </c>
      <c r="AJ75" s="1036"/>
      <c r="AK75" s="1036"/>
      <c r="AN75" s="1943"/>
      <c r="AO75" s="1943"/>
      <c r="AP75" s="1944"/>
    </row>
    <row r="76" spans="1:42" ht="30" customHeight="1">
      <c r="A76" s="413">
        <v>26</v>
      </c>
      <c r="B76" s="2647" t="str">
        <f>IF(元請調査票データ!C202="","",元請調査票データ!C202)</f>
        <v/>
      </c>
      <c r="C76" s="2647"/>
      <c r="D76" s="394">
        <f>IF(元請調査票データ!G202="","",元請調査票データ!G202)</f>
        <v>0</v>
      </c>
      <c r="E76" s="428" t="str">
        <f>IF(元請調査票データ!H202="","",元請調査票データ!H202)</f>
        <v/>
      </c>
      <c r="F76" s="2648" t="str">
        <f t="shared" si="6"/>
        <v/>
      </c>
      <c r="G76" s="2649"/>
      <c r="H76" s="402" t="str">
        <f t="shared" si="7"/>
        <v/>
      </c>
      <c r="I76" s="395"/>
      <c r="J76" s="385"/>
      <c r="K76" s="1464"/>
      <c r="L76" s="59"/>
      <c r="M76" s="1464"/>
      <c r="N76" s="194"/>
      <c r="O76" s="1466"/>
      <c r="P76" s="1466"/>
      <c r="Q76" s="1244"/>
      <c r="R76" s="497" t="e">
        <f t="shared" si="8"/>
        <v>#VALUE!</v>
      </c>
      <c r="U76" s="237"/>
      <c r="V76" s="237"/>
      <c r="Z76" s="1036">
        <f t="shared" si="11"/>
        <v>73</v>
      </c>
      <c r="AA76" s="1759" t="s">
        <v>2015</v>
      </c>
      <c r="AB76" s="1755" t="s">
        <v>1013</v>
      </c>
      <c r="AC76" s="1721" t="s">
        <v>1939</v>
      </c>
      <c r="AD76" s="1758">
        <v>115</v>
      </c>
      <c r="AE76" s="1722">
        <v>15</v>
      </c>
      <c r="AF76" s="1723" t="s">
        <v>1938</v>
      </c>
      <c r="AG76" s="1724" t="str">
        <f t="shared" si="10"/>
        <v>K146</v>
      </c>
      <c r="AH76" s="1725">
        <v>146</v>
      </c>
      <c r="AI76" s="1726">
        <v>11</v>
      </c>
      <c r="AJ76" s="1036"/>
      <c r="AK76" s="1036"/>
      <c r="AN76" s="1943"/>
      <c r="AO76" s="1943"/>
      <c r="AP76" s="1944"/>
    </row>
    <row r="77" spans="1:42" ht="30" customHeight="1">
      <c r="A77" s="413">
        <v>27</v>
      </c>
      <c r="B77" s="2647" t="str">
        <f>IF(元請調査票データ!C203="","",元請調査票データ!C203)</f>
        <v/>
      </c>
      <c r="C77" s="2647"/>
      <c r="D77" s="394">
        <f>IF(元請調査票データ!G203="","",元請調査票データ!G203)</f>
        <v>0</v>
      </c>
      <c r="E77" s="428" t="str">
        <f>IF(元請調査票データ!H203="","",元請調査票データ!H203)</f>
        <v/>
      </c>
      <c r="F77" s="2648" t="str">
        <f t="shared" si="6"/>
        <v/>
      </c>
      <c r="G77" s="2649"/>
      <c r="H77" s="402" t="str">
        <f t="shared" si="7"/>
        <v/>
      </c>
      <c r="I77" s="395"/>
      <c r="J77" s="385"/>
      <c r="K77" s="1464"/>
      <c r="L77" s="59"/>
      <c r="M77" s="1464"/>
      <c r="N77" s="194"/>
      <c r="O77" s="1466"/>
      <c r="P77" s="1466"/>
      <c r="Q77" s="1244"/>
      <c r="R77" s="497" t="e">
        <f t="shared" si="8"/>
        <v>#VALUE!</v>
      </c>
      <c r="U77" s="237"/>
      <c r="V77" s="237"/>
      <c r="Z77" s="1036">
        <f t="shared" si="11"/>
        <v>74</v>
      </c>
      <c r="AA77" s="1756"/>
      <c r="AB77" s="1755" t="s">
        <v>1014</v>
      </c>
      <c r="AC77" s="1721" t="s">
        <v>1939</v>
      </c>
      <c r="AD77" s="1758">
        <v>116</v>
      </c>
      <c r="AE77" s="1722">
        <v>15</v>
      </c>
      <c r="AF77" s="1723" t="s">
        <v>1938</v>
      </c>
      <c r="AG77" s="1724" t="str">
        <f t="shared" si="10"/>
        <v>K147</v>
      </c>
      <c r="AH77" s="1725">
        <v>147</v>
      </c>
      <c r="AI77" s="1726">
        <v>11</v>
      </c>
      <c r="AJ77" s="1036"/>
      <c r="AK77" s="1036"/>
      <c r="AN77" s="1943"/>
      <c r="AO77" s="1943"/>
      <c r="AP77" s="1944"/>
    </row>
    <row r="78" spans="1:42" ht="30" customHeight="1">
      <c r="A78" s="413">
        <v>28</v>
      </c>
      <c r="B78" s="2647" t="str">
        <f>IF(元請調査票データ!C204="","",元請調査票データ!C204)</f>
        <v/>
      </c>
      <c r="C78" s="2647"/>
      <c r="D78" s="394">
        <f>IF(元請調査票データ!G204="","",元請調査票データ!G204)</f>
        <v>0</v>
      </c>
      <c r="E78" s="428" t="str">
        <f>IF(元請調査票データ!H204="","",元請調査票データ!H204)</f>
        <v/>
      </c>
      <c r="F78" s="2648" t="str">
        <f t="shared" si="6"/>
        <v/>
      </c>
      <c r="G78" s="2649"/>
      <c r="H78" s="402" t="str">
        <f t="shared" si="7"/>
        <v/>
      </c>
      <c r="I78" s="395"/>
      <c r="J78" s="385"/>
      <c r="K78" s="1464"/>
      <c r="L78" s="1464"/>
      <c r="M78" s="59"/>
      <c r="N78" s="194"/>
      <c r="O78" s="1466"/>
      <c r="P78" s="1466"/>
      <c r="Q78" s="1244"/>
      <c r="R78" s="497" t="e">
        <f t="shared" si="8"/>
        <v>#VALUE!</v>
      </c>
      <c r="U78" s="272"/>
      <c r="V78" s="237"/>
      <c r="Z78" s="1036">
        <f t="shared" si="11"/>
        <v>75</v>
      </c>
      <c r="AA78" s="1749" t="s">
        <v>1741</v>
      </c>
      <c r="AB78" s="1733"/>
      <c r="AC78" s="1721" t="s">
        <v>1939</v>
      </c>
      <c r="AD78" s="1758">
        <v>117</v>
      </c>
      <c r="AE78" s="1722">
        <v>15</v>
      </c>
      <c r="AF78" s="1723" t="s">
        <v>1938</v>
      </c>
      <c r="AG78" s="1724" t="str">
        <f t="shared" si="10"/>
        <v>K148</v>
      </c>
      <c r="AH78" s="1725">
        <v>148</v>
      </c>
      <c r="AI78" s="1726">
        <v>11</v>
      </c>
      <c r="AJ78" s="1036"/>
      <c r="AK78" s="1036"/>
      <c r="AN78" s="1943"/>
      <c r="AO78" s="1943"/>
      <c r="AP78" s="1944"/>
    </row>
    <row r="79" spans="1:42" ht="30" customHeight="1">
      <c r="A79" s="413">
        <v>29</v>
      </c>
      <c r="B79" s="2647" t="str">
        <f>IF(元請調査票データ!C205="","",元請調査票データ!C205)</f>
        <v/>
      </c>
      <c r="C79" s="2647"/>
      <c r="D79" s="394">
        <f>IF(元請調査票データ!G205="","",元請調査票データ!G205)</f>
        <v>0</v>
      </c>
      <c r="E79" s="428" t="str">
        <f>IF(元請調査票データ!H205="","",元請調査票データ!H205)</f>
        <v/>
      </c>
      <c r="F79" s="2648" t="str">
        <f t="shared" si="6"/>
        <v/>
      </c>
      <c r="G79" s="2649"/>
      <c r="H79" s="402" t="str">
        <f t="shared" si="7"/>
        <v/>
      </c>
      <c r="I79" s="395"/>
      <c r="J79" s="385"/>
      <c r="K79" s="1464"/>
      <c r="L79" s="1827"/>
      <c r="M79" s="1464"/>
      <c r="N79" s="59"/>
      <c r="O79" s="1466"/>
      <c r="P79" s="1466"/>
      <c r="Q79" s="1244"/>
      <c r="R79" s="497" t="e">
        <f t="shared" si="8"/>
        <v>#VALUE!</v>
      </c>
      <c r="U79" s="237"/>
      <c r="V79" s="237"/>
      <c r="Z79" s="1036">
        <f t="shared" si="11"/>
        <v>76</v>
      </c>
      <c r="AA79" s="1749" t="s">
        <v>395</v>
      </c>
      <c r="AB79" s="1733"/>
      <c r="AC79" s="1721" t="s">
        <v>1939</v>
      </c>
      <c r="AD79" s="1758">
        <v>118</v>
      </c>
      <c r="AE79" s="1722">
        <v>15</v>
      </c>
      <c r="AF79" s="1723" t="s">
        <v>1938</v>
      </c>
      <c r="AG79" s="1724" t="str">
        <f t="shared" si="10"/>
        <v>K149</v>
      </c>
      <c r="AH79" s="1725">
        <v>149</v>
      </c>
      <c r="AI79" s="1726">
        <v>11</v>
      </c>
      <c r="AJ79" s="1036"/>
      <c r="AK79" s="1036"/>
      <c r="AN79" s="1943"/>
      <c r="AO79" s="1943"/>
      <c r="AP79" s="1944"/>
    </row>
    <row r="80" spans="1:42" ht="30" customHeight="1">
      <c r="A80" s="413">
        <v>30</v>
      </c>
      <c r="B80" s="2647" t="str">
        <f>IF(元請調査票データ!C206="","",元請調査票データ!C206)</f>
        <v/>
      </c>
      <c r="C80" s="2647"/>
      <c r="D80" s="394">
        <f>IF(元請調査票データ!G206="","",元請調査票データ!G206)</f>
        <v>0</v>
      </c>
      <c r="E80" s="428" t="str">
        <f>IF(元請調査票データ!H206="","",元請調査票データ!H206)</f>
        <v/>
      </c>
      <c r="F80" s="2648" t="str">
        <f t="shared" si="6"/>
        <v/>
      </c>
      <c r="G80" s="2649"/>
      <c r="H80" s="402" t="str">
        <f t="shared" si="7"/>
        <v/>
      </c>
      <c r="I80" s="395"/>
      <c r="J80" s="385"/>
      <c r="K80" s="1464"/>
      <c r="L80" s="1827"/>
      <c r="M80" s="194"/>
      <c r="N80" s="59"/>
      <c r="O80" s="1466"/>
      <c r="P80" s="1466"/>
      <c r="Q80" s="1244"/>
      <c r="R80" s="497" t="e">
        <f t="shared" si="8"/>
        <v>#VALUE!</v>
      </c>
      <c r="U80" s="237"/>
      <c r="V80" s="272"/>
      <c r="Z80" s="1036">
        <f t="shared" si="11"/>
        <v>77</v>
      </c>
      <c r="AA80" s="1749" t="s">
        <v>1742</v>
      </c>
      <c r="AB80" s="1733"/>
      <c r="AC80" s="1721" t="s">
        <v>1939</v>
      </c>
      <c r="AD80" s="1758">
        <v>119</v>
      </c>
      <c r="AE80" s="1722">
        <v>16</v>
      </c>
      <c r="AF80" s="1723" t="s">
        <v>1938</v>
      </c>
      <c r="AG80" s="1724" t="str">
        <f t="shared" si="10"/>
        <v>K150</v>
      </c>
      <c r="AH80" s="1725">
        <v>150</v>
      </c>
      <c r="AI80" s="1726">
        <v>11</v>
      </c>
      <c r="AJ80" s="1036"/>
      <c r="AK80" s="1036"/>
      <c r="AN80" s="1943"/>
      <c r="AO80" s="1943"/>
      <c r="AP80" s="1944"/>
    </row>
    <row r="81" spans="1:42" ht="30" customHeight="1">
      <c r="A81" s="413">
        <v>31</v>
      </c>
      <c r="B81" s="2647" t="str">
        <f>IF(元請調査票データ!C207="","",元請調査票データ!C207)</f>
        <v/>
      </c>
      <c r="C81" s="2647"/>
      <c r="D81" s="394">
        <f>IF(元請調査票データ!G207="","",元請調査票データ!G207)</f>
        <v>0</v>
      </c>
      <c r="E81" s="428" t="str">
        <f>IF(元請調査票データ!H207="","",元請調査票データ!H207)</f>
        <v/>
      </c>
      <c r="F81" s="2648" t="str">
        <f t="shared" si="6"/>
        <v/>
      </c>
      <c r="G81" s="2649"/>
      <c r="H81" s="402" t="str">
        <f t="shared" si="7"/>
        <v/>
      </c>
      <c r="I81" s="395"/>
      <c r="J81" s="385"/>
      <c r="K81" s="1464"/>
      <c r="L81" s="1827"/>
      <c r="M81" s="194"/>
      <c r="N81" s="59"/>
      <c r="O81" s="1466"/>
      <c r="P81" s="1466"/>
      <c r="Q81" s="1244"/>
      <c r="R81" s="497" t="e">
        <f t="shared" si="8"/>
        <v>#VALUE!</v>
      </c>
      <c r="U81" s="237"/>
      <c r="V81" s="237"/>
      <c r="Z81" s="1036">
        <f t="shared" si="11"/>
        <v>78</v>
      </c>
      <c r="AA81" s="1749" t="s">
        <v>2019</v>
      </c>
      <c r="AB81" s="1733"/>
      <c r="AC81" s="1721" t="s">
        <v>1939</v>
      </c>
      <c r="AD81" s="1758">
        <v>120</v>
      </c>
      <c r="AE81" s="1722">
        <v>16</v>
      </c>
      <c r="AF81" s="1723" t="s">
        <v>1938</v>
      </c>
      <c r="AG81" s="1724" t="str">
        <f t="shared" si="10"/>
        <v>K151</v>
      </c>
      <c r="AH81" s="1725">
        <v>151</v>
      </c>
      <c r="AI81" s="1726">
        <v>11</v>
      </c>
      <c r="AJ81" s="1036"/>
      <c r="AK81" s="1036"/>
      <c r="AN81" s="1943"/>
      <c r="AO81" s="1943"/>
      <c r="AP81" s="1944"/>
    </row>
    <row r="82" spans="1:42" ht="30" customHeight="1">
      <c r="A82" s="413">
        <v>32</v>
      </c>
      <c r="B82" s="2647" t="str">
        <f>IF(元請調査票データ!C208="","",元請調査票データ!C208)</f>
        <v/>
      </c>
      <c r="C82" s="2647"/>
      <c r="D82" s="394">
        <f>IF(元請調査票データ!G208="","",元請調査票データ!G208)</f>
        <v>0</v>
      </c>
      <c r="E82" s="428" t="str">
        <f>IF(元請調査票データ!H208="","",元請調査票データ!H208)</f>
        <v/>
      </c>
      <c r="F82" s="2648" t="str">
        <f t="shared" si="6"/>
        <v/>
      </c>
      <c r="G82" s="2649"/>
      <c r="H82" s="402" t="str">
        <f t="shared" si="7"/>
        <v/>
      </c>
      <c r="I82" s="395"/>
      <c r="J82" s="385"/>
      <c r="K82" s="1464"/>
      <c r="L82" s="1827"/>
      <c r="M82" s="194"/>
      <c r="N82" s="59"/>
      <c r="O82" s="1466"/>
      <c r="P82" s="1466"/>
      <c r="Q82" s="1244"/>
      <c r="R82" s="497" t="e">
        <f t="shared" si="8"/>
        <v>#VALUE!</v>
      </c>
      <c r="U82" s="237"/>
      <c r="V82" s="237"/>
      <c r="Z82" s="1036">
        <f t="shared" si="11"/>
        <v>79</v>
      </c>
      <c r="AA82" s="1749" t="s">
        <v>1743</v>
      </c>
      <c r="AB82" s="1733"/>
      <c r="AC82" s="1721" t="s">
        <v>1939</v>
      </c>
      <c r="AD82" s="1758">
        <v>121</v>
      </c>
      <c r="AE82" s="1722">
        <v>16</v>
      </c>
      <c r="AF82" s="1723" t="s">
        <v>1938</v>
      </c>
      <c r="AG82" s="1724" t="str">
        <f t="shared" si="10"/>
        <v>K152</v>
      </c>
      <c r="AH82" s="1725">
        <v>152</v>
      </c>
      <c r="AI82" s="1726">
        <v>11</v>
      </c>
      <c r="AJ82" s="1036"/>
      <c r="AK82" s="1036"/>
      <c r="AN82" s="1943"/>
      <c r="AO82" s="1943"/>
      <c r="AP82" s="1944"/>
    </row>
    <row r="83" spans="1:42" ht="30" customHeight="1">
      <c r="A83" s="413">
        <v>33</v>
      </c>
      <c r="B83" s="2647" t="str">
        <f>IF(元請調査票データ!C209="","",元請調査票データ!C209)</f>
        <v/>
      </c>
      <c r="C83" s="2647"/>
      <c r="D83" s="394">
        <f>IF(元請調査票データ!G209="","",元請調査票データ!G209)</f>
        <v>0</v>
      </c>
      <c r="E83" s="428" t="str">
        <f>IF(元請調査票データ!H209="","",元請調査票データ!H209)</f>
        <v/>
      </c>
      <c r="F83" s="2648" t="str">
        <f t="shared" si="6"/>
        <v/>
      </c>
      <c r="G83" s="2649"/>
      <c r="H83" s="402" t="str">
        <f t="shared" si="7"/>
        <v/>
      </c>
      <c r="I83" s="395"/>
      <c r="J83" s="385"/>
      <c r="K83" s="1464"/>
      <c r="L83" s="1827"/>
      <c r="M83" s="194"/>
      <c r="N83" s="59"/>
      <c r="O83" s="1466"/>
      <c r="P83" s="1466"/>
      <c r="Q83" s="1244"/>
      <c r="R83" s="497" t="e">
        <f t="shared" si="8"/>
        <v>#VALUE!</v>
      </c>
      <c r="U83" s="237"/>
      <c r="V83" s="272"/>
      <c r="Z83" s="1036">
        <f t="shared" si="11"/>
        <v>80</v>
      </c>
      <c r="AA83" s="1749" t="s">
        <v>40</v>
      </c>
      <c r="AB83" s="1733"/>
      <c r="AC83" s="1721" t="s">
        <v>1939</v>
      </c>
      <c r="AD83" s="1758">
        <v>122</v>
      </c>
      <c r="AE83" s="1722">
        <v>16</v>
      </c>
      <c r="AF83" s="1723" t="s">
        <v>1938</v>
      </c>
      <c r="AG83" s="1724" t="str">
        <f t="shared" si="10"/>
        <v>K153</v>
      </c>
      <c r="AH83" s="1725">
        <v>153</v>
      </c>
      <c r="AI83" s="1726">
        <v>11</v>
      </c>
      <c r="AJ83" s="1036"/>
      <c r="AK83" s="1036"/>
      <c r="AN83" s="1943"/>
      <c r="AO83" s="1943"/>
      <c r="AP83" s="1944"/>
    </row>
    <row r="84" spans="1:42" ht="30" customHeight="1">
      <c r="A84" s="413">
        <v>34</v>
      </c>
      <c r="B84" s="2647" t="str">
        <f>IF(元請調査票データ!C210="","",元請調査票データ!C210)</f>
        <v/>
      </c>
      <c r="C84" s="2647"/>
      <c r="D84" s="394">
        <f>IF(元請調査票データ!G210="","",元請調査票データ!G210)</f>
        <v>0</v>
      </c>
      <c r="E84" s="428" t="str">
        <f>IF(元請調査票データ!H210="","",元請調査票データ!H210)</f>
        <v/>
      </c>
      <c r="F84" s="2648" t="str">
        <f t="shared" si="6"/>
        <v/>
      </c>
      <c r="G84" s="2649"/>
      <c r="H84" s="402" t="str">
        <f t="shared" si="7"/>
        <v/>
      </c>
      <c r="I84" s="395"/>
      <c r="J84" s="385"/>
      <c r="K84" s="1464"/>
      <c r="L84" s="1827"/>
      <c r="M84" s="194"/>
      <c r="N84" s="59"/>
      <c r="O84" s="1466"/>
      <c r="P84" s="1466"/>
      <c r="Q84" s="1244"/>
      <c r="R84" s="497" t="e">
        <f t="shared" si="8"/>
        <v>#VALUE!</v>
      </c>
      <c r="U84" s="237"/>
      <c r="V84" s="272"/>
      <c r="Z84" s="1036">
        <f t="shared" si="11"/>
        <v>81</v>
      </c>
      <c r="AA84" s="1762" t="s">
        <v>1805</v>
      </c>
      <c r="AB84" s="1763" t="s">
        <v>396</v>
      </c>
      <c r="AC84" s="1721" t="s">
        <v>1939</v>
      </c>
      <c r="AD84" s="1758">
        <v>124</v>
      </c>
      <c r="AE84" s="1722">
        <v>15</v>
      </c>
      <c r="AF84" s="1723" t="s">
        <v>1938</v>
      </c>
      <c r="AG84" s="1724" t="str">
        <f t="shared" si="10"/>
        <v>K155</v>
      </c>
      <c r="AH84" s="1725">
        <v>155</v>
      </c>
      <c r="AI84" s="1726">
        <v>11</v>
      </c>
      <c r="AJ84" s="1036"/>
      <c r="AK84" s="1036"/>
      <c r="AN84" s="1943"/>
      <c r="AO84" s="1943"/>
      <c r="AP84" s="1944"/>
    </row>
    <row r="85" spans="1:42" ht="30" customHeight="1">
      <c r="A85" s="413">
        <v>35</v>
      </c>
      <c r="B85" s="2647" t="str">
        <f>IF(元請調査票データ!C211="","",元請調査票データ!C211)</f>
        <v/>
      </c>
      <c r="C85" s="2647"/>
      <c r="D85" s="394">
        <f>IF(元請調査票データ!G211="","",元請調査票データ!G211)</f>
        <v>0</v>
      </c>
      <c r="E85" s="428" t="str">
        <f>IF(元請調査票データ!H211="","",元請調査票データ!H211)</f>
        <v/>
      </c>
      <c r="F85" s="2648" t="str">
        <f t="shared" si="6"/>
        <v/>
      </c>
      <c r="G85" s="2649"/>
      <c r="H85" s="402" t="str">
        <f t="shared" si="7"/>
        <v/>
      </c>
      <c r="I85" s="395"/>
      <c r="J85" s="385"/>
      <c r="K85" s="1464"/>
      <c r="L85" s="1827"/>
      <c r="M85" s="194"/>
      <c r="N85" s="59"/>
      <c r="O85" s="1466"/>
      <c r="P85" s="1466"/>
      <c r="Q85" s="1244"/>
      <c r="R85" s="497" t="e">
        <f t="shared" si="8"/>
        <v>#VALUE!</v>
      </c>
      <c r="U85" s="237"/>
      <c r="V85" s="272"/>
      <c r="Z85" s="1036">
        <f t="shared" si="11"/>
        <v>82</v>
      </c>
      <c r="AA85" s="1762"/>
      <c r="AB85" s="1755" t="s">
        <v>397</v>
      </c>
      <c r="AC85" s="1721" t="s">
        <v>1939</v>
      </c>
      <c r="AD85" s="1758">
        <v>125</v>
      </c>
      <c r="AE85" s="1722">
        <v>15</v>
      </c>
      <c r="AF85" s="1723" t="s">
        <v>1938</v>
      </c>
      <c r="AG85" s="1724" t="str">
        <f t="shared" si="10"/>
        <v>K156</v>
      </c>
      <c r="AH85" s="1725">
        <v>156</v>
      </c>
      <c r="AI85" s="1726">
        <v>11</v>
      </c>
      <c r="AJ85" s="1036"/>
      <c r="AK85" s="1036"/>
      <c r="AN85" s="1943"/>
      <c r="AO85" s="1943"/>
      <c r="AP85" s="1944"/>
    </row>
    <row r="86" spans="1:42" ht="30" customHeight="1">
      <c r="A86" s="413">
        <v>36</v>
      </c>
      <c r="B86" s="2647" t="str">
        <f>IF(元請調査票データ!C212="","",元請調査票データ!C212)</f>
        <v/>
      </c>
      <c r="C86" s="2647"/>
      <c r="D86" s="394">
        <f>IF(元請調査票データ!G212="","",元請調査票データ!G212)</f>
        <v>0</v>
      </c>
      <c r="E86" s="428" t="str">
        <f>IF(元請調査票データ!H212="","",元請調査票データ!H212)</f>
        <v/>
      </c>
      <c r="F86" s="2648" t="str">
        <f t="shared" si="6"/>
        <v/>
      </c>
      <c r="G86" s="2649"/>
      <c r="H86" s="402" t="str">
        <f t="shared" si="7"/>
        <v/>
      </c>
      <c r="I86" s="395"/>
      <c r="J86" s="385"/>
      <c r="K86" s="1464"/>
      <c r="L86" s="1827"/>
      <c r="M86" s="194"/>
      <c r="N86" s="59"/>
      <c r="O86" s="1466"/>
      <c r="P86" s="1466"/>
      <c r="Q86" s="1244"/>
      <c r="R86" s="497" t="e">
        <f t="shared" si="8"/>
        <v>#VALUE!</v>
      </c>
      <c r="U86" s="237"/>
      <c r="V86" s="272"/>
      <c r="Z86" s="1036">
        <f t="shared" si="11"/>
        <v>83</v>
      </c>
      <c r="AA86" s="1762"/>
      <c r="AB86" s="1755" t="s">
        <v>398</v>
      </c>
      <c r="AC86" s="1721" t="s">
        <v>1939</v>
      </c>
      <c r="AD86" s="1758">
        <v>126</v>
      </c>
      <c r="AE86" s="1722">
        <v>15</v>
      </c>
      <c r="AF86" s="1723" t="s">
        <v>1938</v>
      </c>
      <c r="AG86" s="1724" t="str">
        <f t="shared" si="10"/>
        <v>K157</v>
      </c>
      <c r="AH86" s="1725">
        <v>157</v>
      </c>
      <c r="AI86" s="1726">
        <v>11</v>
      </c>
      <c r="AJ86" s="1036"/>
      <c r="AK86" s="1036"/>
      <c r="AN86" s="1943"/>
      <c r="AO86" s="1943"/>
      <c r="AP86" s="1944"/>
    </row>
    <row r="87" spans="1:42" ht="30" customHeight="1">
      <c r="A87" s="413">
        <v>37</v>
      </c>
      <c r="B87" s="2647" t="str">
        <f>IF(元請調査票データ!C213="","",元請調査票データ!C213)</f>
        <v/>
      </c>
      <c r="C87" s="2647"/>
      <c r="D87" s="394">
        <f>IF(元請調査票データ!G213="","",元請調査票データ!G213)</f>
        <v>0</v>
      </c>
      <c r="E87" s="428" t="str">
        <f>IF(元請調査票データ!H213="","",元請調査票データ!H213)</f>
        <v/>
      </c>
      <c r="F87" s="2648" t="str">
        <f t="shared" si="6"/>
        <v/>
      </c>
      <c r="G87" s="2649"/>
      <c r="H87" s="402" t="str">
        <f t="shared" si="7"/>
        <v/>
      </c>
      <c r="I87" s="429"/>
      <c r="J87" s="385"/>
      <c r="K87" s="1464"/>
      <c r="L87" s="1827"/>
      <c r="M87" s="194"/>
      <c r="N87" s="59"/>
      <c r="O87" s="1466"/>
      <c r="P87" s="1466"/>
      <c r="Q87" s="1244"/>
      <c r="R87" s="497" t="e">
        <f t="shared" si="8"/>
        <v>#VALUE!</v>
      </c>
      <c r="U87" s="237"/>
      <c r="V87" s="272"/>
      <c r="Z87" s="1036">
        <f t="shared" si="11"/>
        <v>84</v>
      </c>
      <c r="AA87" s="1762"/>
      <c r="AB87" s="1755" t="s">
        <v>1806</v>
      </c>
      <c r="AC87" s="1721" t="s">
        <v>1939</v>
      </c>
      <c r="AD87" s="1758">
        <v>127</v>
      </c>
      <c r="AE87" s="1722">
        <v>15</v>
      </c>
      <c r="AF87" s="1723" t="s">
        <v>1938</v>
      </c>
      <c r="AG87" s="1724" t="str">
        <f t="shared" si="10"/>
        <v>K158</v>
      </c>
      <c r="AH87" s="1725">
        <v>158</v>
      </c>
      <c r="AI87" s="1726">
        <v>11</v>
      </c>
      <c r="AJ87" s="1036"/>
      <c r="AK87" s="1036"/>
      <c r="AN87" s="1943"/>
      <c r="AO87" s="1943"/>
      <c r="AP87" s="1944"/>
    </row>
    <row r="88" spans="1:42" ht="30" customHeight="1">
      <c r="A88" s="413">
        <v>38</v>
      </c>
      <c r="B88" s="2647" t="str">
        <f>IF(元請調査票データ!C214="","",元請調査票データ!C214)</f>
        <v/>
      </c>
      <c r="C88" s="2647"/>
      <c r="D88" s="394">
        <f>IF(元請調査票データ!G214="","",元請調査票データ!G214)</f>
        <v>0</v>
      </c>
      <c r="E88" s="428" t="str">
        <f>IF(元請調査票データ!H214="","",元請調査票データ!H214)</f>
        <v/>
      </c>
      <c r="F88" s="2648" t="str">
        <f t="shared" si="6"/>
        <v/>
      </c>
      <c r="G88" s="2649"/>
      <c r="H88" s="402" t="str">
        <f t="shared" si="7"/>
        <v/>
      </c>
      <c r="I88" s="429"/>
      <c r="J88" s="385"/>
      <c r="K88" s="1464"/>
      <c r="L88" s="1827"/>
      <c r="M88" s="194"/>
      <c r="N88" s="59"/>
      <c r="O88" s="1466"/>
      <c r="P88" s="1466"/>
      <c r="Q88" s="1244"/>
      <c r="R88" s="497" t="e">
        <f t="shared" si="8"/>
        <v>#VALUE!</v>
      </c>
      <c r="U88" s="237"/>
      <c r="V88" s="272"/>
      <c r="Z88" s="1036">
        <f t="shared" si="11"/>
        <v>85</v>
      </c>
      <c r="AA88" s="1756"/>
      <c r="AB88" s="1755" t="s">
        <v>40</v>
      </c>
      <c r="AC88" s="1721" t="s">
        <v>1939</v>
      </c>
      <c r="AD88" s="1758">
        <v>128</v>
      </c>
      <c r="AE88" s="1722">
        <v>16</v>
      </c>
      <c r="AF88" s="1723" t="s">
        <v>1938</v>
      </c>
      <c r="AG88" s="1724" t="str">
        <f t="shared" si="10"/>
        <v>K164</v>
      </c>
      <c r="AH88" s="1725">
        <v>164</v>
      </c>
      <c r="AI88" s="1726">
        <v>11</v>
      </c>
      <c r="AJ88" s="1036"/>
      <c r="AK88" s="1036"/>
      <c r="AN88" s="1943"/>
      <c r="AO88" s="1943"/>
      <c r="AP88" s="1944"/>
    </row>
    <row r="89" spans="1:42" ht="30" customHeight="1">
      <c r="A89" s="413">
        <v>39</v>
      </c>
      <c r="B89" s="2647" t="str">
        <f>IF(元請調査票データ!C215="","",元請調査票データ!C215)</f>
        <v/>
      </c>
      <c r="C89" s="2647"/>
      <c r="D89" s="394">
        <f>IF(元請調査票データ!G215="","",元請調査票データ!G215)</f>
        <v>0</v>
      </c>
      <c r="E89" s="428" t="str">
        <f>IF(元請調査票データ!H215="","",元請調査票データ!H215)</f>
        <v/>
      </c>
      <c r="F89" s="2648" t="str">
        <f t="shared" si="6"/>
        <v/>
      </c>
      <c r="G89" s="2649"/>
      <c r="H89" s="402" t="str">
        <f t="shared" si="7"/>
        <v/>
      </c>
      <c r="I89" s="395"/>
      <c r="J89" s="385"/>
      <c r="K89" s="1464"/>
      <c r="L89" s="1828"/>
      <c r="M89" s="194"/>
      <c r="N89" s="1829"/>
      <c r="O89" s="1466"/>
      <c r="P89" s="1466"/>
      <c r="Q89" s="1244"/>
      <c r="R89" s="497" t="e">
        <f t="shared" si="8"/>
        <v>#VALUE!</v>
      </c>
      <c r="U89" s="237"/>
      <c r="V89" s="272"/>
      <c r="Z89" s="1036">
        <f t="shared" si="11"/>
        <v>86</v>
      </c>
      <c r="AA89" s="1749" t="s">
        <v>943</v>
      </c>
      <c r="AB89" s="1733"/>
      <c r="AC89" s="1721" t="s">
        <v>1939</v>
      </c>
      <c r="AD89" s="1758">
        <v>129</v>
      </c>
      <c r="AE89" s="1722">
        <v>16</v>
      </c>
      <c r="AF89" s="1723" t="s">
        <v>1938</v>
      </c>
      <c r="AG89" s="1724" t="str">
        <f t="shared" si="10"/>
        <v>K173</v>
      </c>
      <c r="AH89" s="1725">
        <v>173</v>
      </c>
      <c r="AI89" s="1726">
        <v>11</v>
      </c>
      <c r="AJ89" s="1036"/>
      <c r="AK89" s="1036"/>
      <c r="AN89" s="1943"/>
      <c r="AO89" s="1943"/>
      <c r="AP89" s="1944"/>
    </row>
    <row r="90" spans="1:42" ht="30" customHeight="1">
      <c r="A90" s="413">
        <v>40</v>
      </c>
      <c r="B90" s="2647" t="str">
        <f>IF(元請調査票データ!C216="","",元請調査票データ!C216)</f>
        <v/>
      </c>
      <c r="C90" s="2647"/>
      <c r="D90" s="394">
        <f>IF(元請調査票データ!G216="","",元請調査票データ!G216)</f>
        <v>0</v>
      </c>
      <c r="E90" s="428" t="str">
        <f>IF(元請調査票データ!H216="","",元請調査票データ!H216)</f>
        <v/>
      </c>
      <c r="F90" s="2648" t="str">
        <f t="shared" si="6"/>
        <v/>
      </c>
      <c r="G90" s="2649"/>
      <c r="H90" s="402" t="str">
        <f t="shared" si="7"/>
        <v/>
      </c>
      <c r="I90" s="395"/>
      <c r="J90" s="385"/>
      <c r="K90" s="1826"/>
      <c r="L90" s="1464"/>
      <c r="M90" s="59"/>
      <c r="N90" s="194"/>
      <c r="O90" s="1466"/>
      <c r="P90" s="1466"/>
      <c r="Q90" s="1244"/>
      <c r="R90" s="497" t="e">
        <f t="shared" si="8"/>
        <v>#VALUE!</v>
      </c>
      <c r="Z90" s="1036">
        <f t="shared" si="11"/>
        <v>87</v>
      </c>
      <c r="AA90" s="1764"/>
      <c r="AB90" s="1764"/>
      <c r="AC90" s="1765"/>
      <c r="AD90" s="1765"/>
      <c r="AE90" s="1766"/>
      <c r="AF90" s="1767"/>
      <c r="AG90" s="1767"/>
      <c r="AH90" s="1767"/>
      <c r="AI90" s="1767"/>
      <c r="AJ90" s="1036"/>
      <c r="AK90" s="1036"/>
      <c r="AN90" s="1943"/>
      <c r="AO90" s="1943"/>
      <c r="AP90" s="1944"/>
    </row>
    <row r="91" spans="1:42" ht="30" customHeight="1">
      <c r="A91" s="413">
        <v>41</v>
      </c>
      <c r="B91" s="2647" t="str">
        <f>IF(元請調査票データ!C217="","",元請調査票データ!C217)</f>
        <v/>
      </c>
      <c r="C91" s="2647"/>
      <c r="D91" s="394">
        <f>IF(元請調査票データ!G217="","",元請調査票データ!G217)</f>
        <v>0</v>
      </c>
      <c r="E91" s="428" t="str">
        <f>IF(元請調査票データ!H217="","",元請調査票データ!H217)</f>
        <v/>
      </c>
      <c r="F91" s="2648" t="str">
        <f t="shared" si="6"/>
        <v/>
      </c>
      <c r="G91" s="2649"/>
      <c r="H91" s="402" t="str">
        <f t="shared" si="7"/>
        <v/>
      </c>
      <c r="I91" s="395"/>
      <c r="J91" s="385"/>
      <c r="K91" s="1826"/>
      <c r="L91" s="1464"/>
      <c r="M91" s="59"/>
      <c r="N91" s="194"/>
      <c r="O91" s="1466"/>
      <c r="P91" s="1466"/>
      <c r="Q91" s="1244"/>
      <c r="R91" s="497" t="e">
        <f t="shared" si="8"/>
        <v>#VALUE!</v>
      </c>
      <c r="Z91" s="1036">
        <f t="shared" si="11"/>
        <v>88</v>
      </c>
      <c r="AA91" s="806"/>
      <c r="AB91" s="1768"/>
      <c r="AC91" s="1765"/>
      <c r="AD91" s="1765"/>
      <c r="AE91" s="1766"/>
      <c r="AF91" s="1767"/>
      <c r="AG91" s="1767"/>
      <c r="AH91" s="1767"/>
      <c r="AI91" s="1767"/>
      <c r="AJ91" s="1036"/>
      <c r="AK91" s="1036"/>
      <c r="AN91" s="1943"/>
      <c r="AO91" s="1943"/>
      <c r="AP91" s="1944"/>
    </row>
    <row r="92" spans="1:42" ht="30" customHeight="1">
      <c r="A92" s="413">
        <v>42</v>
      </c>
      <c r="B92" s="2647" t="str">
        <f>IF(元請調査票データ!C218="","",元請調査票データ!C218)</f>
        <v/>
      </c>
      <c r="C92" s="2647"/>
      <c r="D92" s="394">
        <f>IF(元請調査票データ!G218="","",元請調査票データ!G218)</f>
        <v>0</v>
      </c>
      <c r="E92" s="428" t="str">
        <f>IF(元請調査票データ!H218="","",元請調査票データ!H218)</f>
        <v/>
      </c>
      <c r="F92" s="2648" t="str">
        <f t="shared" si="6"/>
        <v/>
      </c>
      <c r="G92" s="2649"/>
      <c r="H92" s="402" t="str">
        <f t="shared" si="7"/>
        <v/>
      </c>
      <c r="I92" s="395"/>
      <c r="J92" s="385"/>
      <c r="K92" s="1826"/>
      <c r="L92" s="1464"/>
      <c r="M92" s="59"/>
      <c r="N92" s="194"/>
      <c r="O92" s="1466"/>
      <c r="P92" s="1466"/>
      <c r="Q92" s="1244"/>
      <c r="R92" s="497" t="e">
        <f t="shared" si="8"/>
        <v>#VALUE!</v>
      </c>
      <c r="Z92" s="1036">
        <f t="shared" si="11"/>
        <v>89</v>
      </c>
      <c r="AA92" s="806"/>
      <c r="AB92" s="1768"/>
      <c r="AC92" s="1765"/>
      <c r="AD92" s="1765"/>
      <c r="AE92" s="1766"/>
      <c r="AF92" s="1767"/>
      <c r="AG92" s="1767"/>
      <c r="AH92" s="1767"/>
      <c r="AI92" s="1767"/>
      <c r="AJ92" s="1036"/>
      <c r="AK92" s="1036"/>
      <c r="AN92" s="1943"/>
      <c r="AO92" s="1943"/>
      <c r="AP92" s="1944"/>
    </row>
    <row r="93" spans="1:42" ht="30" customHeight="1">
      <c r="A93" s="413">
        <v>43</v>
      </c>
      <c r="B93" s="2647" t="str">
        <f>IF(元請調査票データ!C219="","",元請調査票データ!C219)</f>
        <v/>
      </c>
      <c r="C93" s="2647"/>
      <c r="D93" s="394">
        <f>IF(元請調査票データ!G219="","",元請調査票データ!G219)</f>
        <v>0</v>
      </c>
      <c r="E93" s="428" t="str">
        <f>IF(元請調査票データ!H219="","",元請調査票データ!H219)</f>
        <v/>
      </c>
      <c r="F93" s="2648" t="str">
        <f t="shared" si="6"/>
        <v/>
      </c>
      <c r="G93" s="2649"/>
      <c r="H93" s="402" t="str">
        <f t="shared" si="7"/>
        <v/>
      </c>
      <c r="I93" s="395"/>
      <c r="J93" s="385"/>
      <c r="K93" s="1826"/>
      <c r="L93" s="1464"/>
      <c r="M93" s="59"/>
      <c r="N93" s="194"/>
      <c r="O93" s="1466"/>
      <c r="P93" s="1466"/>
      <c r="Q93" s="1244"/>
      <c r="R93" s="497" t="e">
        <f t="shared" si="8"/>
        <v>#VALUE!</v>
      </c>
      <c r="Z93" s="1036">
        <f t="shared" si="11"/>
        <v>90</v>
      </c>
      <c r="AA93" s="806"/>
      <c r="AB93" s="1768"/>
      <c r="AC93" s="1765"/>
      <c r="AD93" s="1765"/>
      <c r="AE93" s="1766"/>
      <c r="AF93" s="1767"/>
      <c r="AG93" s="1767"/>
      <c r="AH93" s="1767"/>
      <c r="AI93" s="1767"/>
      <c r="AJ93" s="1036"/>
      <c r="AK93" s="1036"/>
      <c r="AN93" s="1943"/>
      <c r="AO93" s="1943"/>
      <c r="AP93" s="1944"/>
    </row>
    <row r="94" spans="1:42" ht="30" customHeight="1">
      <c r="A94" s="413">
        <v>44</v>
      </c>
      <c r="B94" s="2647" t="str">
        <f>IF(元請調査票データ!C220="","",元請調査票データ!C220)</f>
        <v/>
      </c>
      <c r="C94" s="2647"/>
      <c r="D94" s="394">
        <f>IF(元請調査票データ!G220="","",元請調査票データ!G220)</f>
        <v>0</v>
      </c>
      <c r="E94" s="428" t="str">
        <f>IF(元請調査票データ!H220="","",元請調査票データ!H220)</f>
        <v/>
      </c>
      <c r="F94" s="2648" t="str">
        <f t="shared" si="6"/>
        <v/>
      </c>
      <c r="G94" s="2649"/>
      <c r="H94" s="402" t="str">
        <f t="shared" si="7"/>
        <v/>
      </c>
      <c r="I94" s="395"/>
      <c r="J94" s="385"/>
      <c r="K94" s="1826"/>
      <c r="L94" s="1464"/>
      <c r="M94" s="59"/>
      <c r="N94" s="194"/>
      <c r="O94" s="1466"/>
      <c r="P94" s="1466"/>
      <c r="Q94" s="1244"/>
      <c r="R94" s="497" t="e">
        <f t="shared" si="8"/>
        <v>#VALUE!</v>
      </c>
      <c r="Z94" s="1036">
        <f t="shared" si="11"/>
        <v>91</v>
      </c>
      <c r="AA94" s="1764"/>
      <c r="AB94" s="1764"/>
      <c r="AC94" s="1765"/>
      <c r="AD94" s="1765"/>
      <c r="AE94" s="1766"/>
      <c r="AF94" s="1767"/>
      <c r="AG94" s="1767"/>
      <c r="AH94" s="1767"/>
      <c r="AI94" s="1767"/>
      <c r="AJ94" s="1036"/>
      <c r="AK94" s="1036"/>
      <c r="AN94" s="1943"/>
      <c r="AO94" s="1943"/>
      <c r="AP94" s="1944"/>
    </row>
    <row r="95" spans="1:42" ht="30" customHeight="1">
      <c r="A95" s="413">
        <v>45</v>
      </c>
      <c r="B95" s="2647" t="str">
        <f>IF(元請調査票データ!C221="","",元請調査票データ!C221)</f>
        <v/>
      </c>
      <c r="C95" s="2647"/>
      <c r="D95" s="394">
        <f>IF(元請調査票データ!G221="","",元請調査票データ!G221)</f>
        <v>0</v>
      </c>
      <c r="E95" s="428" t="str">
        <f>IF(元請調査票データ!H221="","",元請調査票データ!H221)</f>
        <v/>
      </c>
      <c r="F95" s="2648" t="str">
        <f t="shared" si="6"/>
        <v/>
      </c>
      <c r="G95" s="2649"/>
      <c r="H95" s="402" t="str">
        <f t="shared" si="7"/>
        <v/>
      </c>
      <c r="I95" s="395"/>
      <c r="J95" s="385"/>
      <c r="K95" s="1826"/>
      <c r="L95" s="1464"/>
      <c r="M95" s="59"/>
      <c r="N95" s="194"/>
      <c r="O95" s="1466"/>
      <c r="P95" s="1466"/>
      <c r="Q95" s="1244"/>
      <c r="R95" s="497" t="e">
        <f t="shared" si="8"/>
        <v>#VALUE!</v>
      </c>
      <c r="Z95" s="1036">
        <f t="shared" si="11"/>
        <v>92</v>
      </c>
      <c r="AA95" s="806"/>
      <c r="AB95" s="1768"/>
      <c r="AC95" s="1765"/>
      <c r="AD95" s="1765"/>
      <c r="AE95" s="1766"/>
      <c r="AF95" s="1767"/>
      <c r="AG95" s="1767"/>
      <c r="AH95" s="1767"/>
      <c r="AI95" s="1767"/>
      <c r="AJ95" s="1036"/>
      <c r="AK95" s="1036"/>
      <c r="AN95" s="1943"/>
      <c r="AO95" s="1943"/>
      <c r="AP95" s="1944"/>
    </row>
    <row r="96" spans="1:42" ht="30" customHeight="1">
      <c r="A96" s="413">
        <v>46</v>
      </c>
      <c r="B96" s="2647" t="str">
        <f>IF(元請調査票データ!C222="","",元請調査票データ!C222)</f>
        <v/>
      </c>
      <c r="C96" s="2647"/>
      <c r="D96" s="394">
        <f>IF(元請調査票データ!G222="","",元請調査票データ!G222)</f>
        <v>0</v>
      </c>
      <c r="E96" s="428" t="str">
        <f>IF(元請調査票データ!H222="","",元請調査票データ!H222)</f>
        <v/>
      </c>
      <c r="F96" s="2648" t="str">
        <f t="shared" si="6"/>
        <v/>
      </c>
      <c r="G96" s="2649"/>
      <c r="H96" s="402" t="str">
        <f t="shared" si="7"/>
        <v/>
      </c>
      <c r="I96" s="395"/>
      <c r="J96" s="385"/>
      <c r="K96" s="1826"/>
      <c r="L96" s="1464"/>
      <c r="M96" s="59"/>
      <c r="N96" s="194"/>
      <c r="O96" s="1466"/>
      <c r="P96" s="1466"/>
      <c r="Q96" s="1244"/>
      <c r="R96" s="497" t="e">
        <f t="shared" si="8"/>
        <v>#VALUE!</v>
      </c>
      <c r="Z96" s="1036">
        <f t="shared" si="11"/>
        <v>93</v>
      </c>
      <c r="AA96" s="1764"/>
      <c r="AB96" s="1764"/>
      <c r="AC96" s="1765"/>
      <c r="AD96" s="1765"/>
      <c r="AE96" s="1766"/>
      <c r="AF96" s="1767"/>
      <c r="AG96" s="1767"/>
      <c r="AH96" s="1767"/>
      <c r="AI96" s="1767"/>
      <c r="AJ96" s="1036"/>
      <c r="AK96" s="1036"/>
      <c r="AN96" s="1943"/>
      <c r="AO96" s="1943"/>
      <c r="AP96" s="1944"/>
    </row>
    <row r="97" spans="1:42" ht="30" customHeight="1">
      <c r="A97" s="413">
        <v>47</v>
      </c>
      <c r="B97" s="2647" t="str">
        <f>IF(元請調査票データ!C223="","",元請調査票データ!C223)</f>
        <v/>
      </c>
      <c r="C97" s="2647"/>
      <c r="D97" s="394">
        <f>IF(元請調査票データ!G223="","",元請調査票データ!G223)</f>
        <v>0</v>
      </c>
      <c r="E97" s="428" t="str">
        <f>IF(元請調査票データ!H223="","",元請調査票データ!H223)</f>
        <v/>
      </c>
      <c r="F97" s="2648" t="str">
        <f t="shared" si="6"/>
        <v/>
      </c>
      <c r="G97" s="2649"/>
      <c r="H97" s="402" t="str">
        <f t="shared" si="7"/>
        <v/>
      </c>
      <c r="I97" s="395"/>
      <c r="J97" s="385"/>
      <c r="K97" s="1826"/>
      <c r="L97" s="1464"/>
      <c r="M97" s="59"/>
      <c r="N97" s="59"/>
      <c r="O97" s="1466"/>
      <c r="P97" s="1466"/>
      <c r="Q97" s="1244"/>
      <c r="R97" s="497" t="e">
        <f t="shared" si="8"/>
        <v>#VALUE!</v>
      </c>
      <c r="Z97" s="1036">
        <f t="shared" si="11"/>
        <v>94</v>
      </c>
      <c r="AA97" s="806"/>
      <c r="AB97" s="1768"/>
      <c r="AC97" s="1769"/>
      <c r="AD97" s="1769"/>
      <c r="AE97" s="1770"/>
      <c r="AF97" s="1767"/>
      <c r="AG97" s="1767"/>
      <c r="AH97" s="1771"/>
      <c r="AI97" s="1767"/>
      <c r="AJ97" s="1036"/>
      <c r="AK97" s="1036"/>
      <c r="AN97" s="1943"/>
      <c r="AO97" s="1943"/>
      <c r="AP97" s="1944"/>
    </row>
    <row r="98" spans="1:42" ht="30" customHeight="1">
      <c r="A98" s="413">
        <v>48</v>
      </c>
      <c r="B98" s="2647" t="str">
        <f>IF(元請調査票データ!C224="","",元請調査票データ!C224)</f>
        <v/>
      </c>
      <c r="C98" s="2647"/>
      <c r="D98" s="394">
        <f>IF(元請調査票データ!G224="","",元請調査票データ!G224)</f>
        <v>0</v>
      </c>
      <c r="E98" s="428" t="str">
        <f>IF(元請調査票データ!H224="","",元請調査票データ!H224)</f>
        <v/>
      </c>
      <c r="F98" s="2648" t="str">
        <f t="shared" si="6"/>
        <v/>
      </c>
      <c r="G98" s="2649"/>
      <c r="H98" s="402" t="str">
        <f t="shared" si="7"/>
        <v/>
      </c>
      <c r="I98" s="395"/>
      <c r="J98" s="385"/>
      <c r="K98" s="1826"/>
      <c r="L98" s="1830"/>
      <c r="M98" s="59"/>
      <c r="N98" s="1465"/>
      <c r="O98" s="1466"/>
      <c r="P98" s="1466"/>
      <c r="Q98" s="1244"/>
      <c r="R98" s="497" t="e">
        <f t="shared" si="8"/>
        <v>#VALUE!</v>
      </c>
      <c r="Z98" s="1036">
        <f t="shared" si="11"/>
        <v>95</v>
      </c>
      <c r="AA98" s="806"/>
      <c r="AB98" s="1768"/>
      <c r="AC98" s="1769"/>
      <c r="AD98" s="1769"/>
      <c r="AE98" s="1770"/>
      <c r="AF98" s="1767"/>
      <c r="AG98" s="1767"/>
      <c r="AH98" s="1771"/>
      <c r="AI98" s="1767"/>
      <c r="AJ98" s="1036"/>
      <c r="AK98" s="1036"/>
      <c r="AN98" s="1943"/>
      <c r="AO98" s="1943"/>
      <c r="AP98" s="1944"/>
    </row>
    <row r="99" spans="1:42" ht="30" customHeight="1">
      <c r="A99" s="413">
        <v>49</v>
      </c>
      <c r="B99" s="2647" t="str">
        <f>IF(元請調査票データ!C225="","",元請調査票データ!C225)</f>
        <v/>
      </c>
      <c r="C99" s="2647"/>
      <c r="D99" s="394">
        <f>IF(元請調査票データ!G225="","",元請調査票データ!G225)</f>
        <v>0</v>
      </c>
      <c r="E99" s="428" t="str">
        <f>IF(元請調査票データ!H225="","",元請調査票データ!H225)</f>
        <v/>
      </c>
      <c r="F99" s="2648" t="str">
        <f t="shared" si="6"/>
        <v/>
      </c>
      <c r="G99" s="2649"/>
      <c r="H99" s="402" t="str">
        <f t="shared" si="7"/>
        <v/>
      </c>
      <c r="I99" s="395"/>
      <c r="J99" s="385"/>
      <c r="K99" s="1464"/>
      <c r="L99" s="59"/>
      <c r="M99" s="1464"/>
      <c r="N99" s="194"/>
      <c r="O99" s="1466"/>
      <c r="P99" s="1466"/>
      <c r="Q99" s="1244"/>
      <c r="R99" s="497" t="e">
        <f t="shared" si="8"/>
        <v>#VALUE!</v>
      </c>
      <c r="Z99" s="1036">
        <f t="shared" si="11"/>
        <v>96</v>
      </c>
      <c r="AA99" s="806"/>
      <c r="AB99" s="1768"/>
      <c r="AC99" s="1769"/>
      <c r="AD99" s="1769"/>
      <c r="AE99" s="1770"/>
      <c r="AF99" s="1767"/>
      <c r="AG99" s="1767"/>
      <c r="AH99" s="1771"/>
      <c r="AI99" s="1767"/>
      <c r="AJ99" s="1036"/>
      <c r="AK99" s="1036"/>
      <c r="AN99" s="1943"/>
      <c r="AO99" s="1943"/>
      <c r="AP99" s="1944"/>
    </row>
    <row r="100" spans="1:42" ht="30" customHeight="1">
      <c r="A100" s="413">
        <v>50</v>
      </c>
      <c r="B100" s="2647" t="str">
        <f>IF(元請調査票データ!C226="","",元請調査票データ!C226)</f>
        <v/>
      </c>
      <c r="C100" s="2647"/>
      <c r="D100" s="394">
        <f>IF(元請調査票データ!G226="","",元請調査票データ!G226)</f>
        <v>0</v>
      </c>
      <c r="E100" s="428" t="str">
        <f>IF(元請調査票データ!H226="","",元請調査票データ!H226)</f>
        <v/>
      </c>
      <c r="F100" s="2648" t="str">
        <f t="shared" si="6"/>
        <v/>
      </c>
      <c r="G100" s="2649"/>
      <c r="H100" s="402" t="str">
        <f t="shared" si="7"/>
        <v/>
      </c>
      <c r="I100" s="395"/>
      <c r="J100" s="385"/>
      <c r="K100" s="1826"/>
      <c r="L100" s="1464"/>
      <c r="M100" s="59"/>
      <c r="N100" s="194"/>
      <c r="O100" s="1466"/>
      <c r="P100" s="1466"/>
      <c r="Q100" s="1244"/>
      <c r="R100" s="497" t="e">
        <f t="shared" si="8"/>
        <v>#VALUE!</v>
      </c>
      <c r="Z100" s="1036">
        <f t="shared" si="11"/>
        <v>97</v>
      </c>
      <c r="AA100" s="806"/>
      <c r="AB100" s="1768"/>
      <c r="AC100" s="1769"/>
      <c r="AD100" s="1769"/>
      <c r="AE100" s="1770"/>
      <c r="AF100" s="1767"/>
      <c r="AG100" s="1767"/>
      <c r="AH100" s="1771"/>
      <c r="AI100" s="1767"/>
      <c r="AJ100" s="1036"/>
      <c r="AK100" s="1036"/>
      <c r="AN100" s="1943"/>
      <c r="AO100" s="1943"/>
      <c r="AP100" s="1944"/>
    </row>
    <row r="101" spans="1:42" ht="30" customHeight="1">
      <c r="A101" s="413">
        <v>51</v>
      </c>
      <c r="B101" s="2647" t="str">
        <f>IF(元請調査票データ!C227="","",元請調査票データ!C227)</f>
        <v/>
      </c>
      <c r="C101" s="2647"/>
      <c r="D101" s="394" t="str">
        <f>IF(元請調査票データ!G227="","",元請調査票データ!G227)</f>
        <v/>
      </c>
      <c r="E101" s="428" t="str">
        <f>IF(元請調査票データ!H227="","",元請調査票データ!H227)</f>
        <v/>
      </c>
      <c r="F101" s="2648" t="str">
        <f t="shared" si="6"/>
        <v/>
      </c>
      <c r="G101" s="2649"/>
      <c r="H101" s="402" t="str">
        <f t="shared" si="7"/>
        <v/>
      </c>
      <c r="I101" s="395"/>
      <c r="J101" s="385"/>
      <c r="K101" s="1826"/>
      <c r="L101" s="1464"/>
      <c r="M101" s="59"/>
      <c r="N101" s="194"/>
      <c r="O101" s="1466"/>
      <c r="P101" s="1466"/>
      <c r="Q101" s="1244"/>
      <c r="R101" s="497" t="str">
        <f t="shared" si="8"/>
        <v/>
      </c>
      <c r="Z101" s="1036">
        <f t="shared" si="11"/>
        <v>98</v>
      </c>
      <c r="AA101" s="806"/>
      <c r="AB101" s="1768"/>
      <c r="AC101" s="1769"/>
      <c r="AD101" s="1769"/>
      <c r="AE101" s="1770"/>
      <c r="AF101" s="1767"/>
      <c r="AG101" s="1767"/>
      <c r="AH101" s="1771"/>
      <c r="AI101" s="1767"/>
      <c r="AJ101" s="1036"/>
      <c r="AK101" s="1036"/>
      <c r="AN101" s="1943"/>
      <c r="AO101" s="1943"/>
      <c r="AP101" s="1944"/>
    </row>
    <row r="102" spans="1:42" ht="30" customHeight="1">
      <c r="A102" s="413">
        <v>52</v>
      </c>
      <c r="B102" s="2647" t="str">
        <f>IF(元請調査票データ!C228="","",元請調査票データ!C228)</f>
        <v/>
      </c>
      <c r="C102" s="2647"/>
      <c r="D102" s="394" t="str">
        <f>IF(元請調査票データ!G228="","",元請調査票データ!G228)</f>
        <v/>
      </c>
      <c r="E102" s="428" t="str">
        <f>IF(元請調査票データ!H228="","",元請調査票データ!H228)</f>
        <v/>
      </c>
      <c r="F102" s="2648" t="str">
        <f t="shared" si="6"/>
        <v/>
      </c>
      <c r="G102" s="2649"/>
      <c r="H102" s="402" t="str">
        <f t="shared" si="7"/>
        <v/>
      </c>
      <c r="I102" s="395"/>
      <c r="J102" s="385"/>
      <c r="K102" s="1464"/>
      <c r="L102" s="59"/>
      <c r="M102" s="1464"/>
      <c r="N102" s="194"/>
      <c r="O102" s="1466"/>
      <c r="P102" s="1466"/>
      <c r="Q102" s="1244"/>
      <c r="R102" s="497" t="str">
        <f t="shared" si="8"/>
        <v/>
      </c>
      <c r="Z102" s="1036">
        <f t="shared" si="11"/>
        <v>99</v>
      </c>
      <c r="AA102" s="1772"/>
      <c r="AB102" s="1773"/>
      <c r="AC102" s="1769"/>
      <c r="AD102" s="1769"/>
      <c r="AE102" s="1770"/>
      <c r="AF102" s="1767"/>
      <c r="AG102" s="1767"/>
      <c r="AH102" s="1771"/>
      <c r="AI102" s="1767"/>
      <c r="AJ102" s="1036"/>
      <c r="AK102" s="1036"/>
      <c r="AN102" s="1943"/>
      <c r="AO102" s="1943"/>
      <c r="AP102" s="1944"/>
    </row>
    <row r="103" spans="1:42" ht="30" customHeight="1">
      <c r="A103" s="413">
        <v>53</v>
      </c>
      <c r="B103" s="2647" t="str">
        <f>IF(元請調査票データ!C229="","",元請調査票データ!C229)</f>
        <v/>
      </c>
      <c r="C103" s="2647"/>
      <c r="D103" s="394" t="str">
        <f>IF(元請調査票データ!G229="","",元請調査票データ!G229)</f>
        <v/>
      </c>
      <c r="E103" s="428" t="str">
        <f>IF(元請調査票データ!H229="","",元請調査票データ!H229)</f>
        <v/>
      </c>
      <c r="F103" s="2648" t="str">
        <f t="shared" si="6"/>
        <v/>
      </c>
      <c r="G103" s="2649"/>
      <c r="H103" s="402" t="str">
        <f t="shared" si="7"/>
        <v/>
      </c>
      <c r="I103" s="395"/>
      <c r="J103" s="385"/>
      <c r="K103" s="1826"/>
      <c r="L103" s="1464"/>
      <c r="M103" s="59"/>
      <c r="N103" s="194"/>
      <c r="O103" s="1466"/>
      <c r="P103" s="1466"/>
      <c r="Q103" s="1244"/>
      <c r="R103" s="497" t="str">
        <f t="shared" si="8"/>
        <v/>
      </c>
      <c r="Z103" s="1036">
        <f t="shared" si="11"/>
        <v>100</v>
      </c>
      <c r="AA103" s="1772"/>
      <c r="AB103" s="1773"/>
      <c r="AC103" s="1769"/>
      <c r="AD103" s="1769"/>
      <c r="AE103" s="1770"/>
      <c r="AF103" s="1767"/>
      <c r="AG103" s="1767"/>
      <c r="AH103" s="1771"/>
      <c r="AI103" s="1767"/>
      <c r="AJ103" s="1036"/>
      <c r="AK103" s="1036"/>
      <c r="AN103" s="1943"/>
      <c r="AO103" s="1943"/>
      <c r="AP103" s="1944"/>
    </row>
    <row r="104" spans="1:42" ht="30" customHeight="1">
      <c r="A104" s="413">
        <v>54</v>
      </c>
      <c r="B104" s="2647" t="str">
        <f>IF(元請調査票データ!C230="","",元請調査票データ!C230)</f>
        <v/>
      </c>
      <c r="C104" s="2647"/>
      <c r="D104" s="394" t="str">
        <f>IF(元請調査票データ!G230="","",元請調査票データ!G230)</f>
        <v/>
      </c>
      <c r="E104" s="428" t="str">
        <f>IF(元請調査票データ!H230="","",元請調査票データ!H230)</f>
        <v/>
      </c>
      <c r="F104" s="2648" t="str">
        <f t="shared" si="6"/>
        <v/>
      </c>
      <c r="G104" s="2649"/>
      <c r="H104" s="402" t="str">
        <f t="shared" si="7"/>
        <v/>
      </c>
      <c r="I104" s="395"/>
      <c r="J104" s="385"/>
      <c r="K104" s="1826"/>
      <c r="L104" s="1464"/>
      <c r="M104" s="59"/>
      <c r="N104" s="194"/>
      <c r="O104" s="1466"/>
      <c r="P104" s="1466"/>
      <c r="Q104" s="1244"/>
      <c r="R104" s="497" t="str">
        <f t="shared" si="8"/>
        <v/>
      </c>
      <c r="Z104" s="1036">
        <f t="shared" si="11"/>
        <v>101</v>
      </c>
      <c r="AA104" s="1772"/>
      <c r="AB104" s="1773"/>
      <c r="AC104" s="1769"/>
      <c r="AD104" s="1769"/>
      <c r="AE104" s="1770"/>
      <c r="AF104" s="1767"/>
      <c r="AG104" s="1767"/>
      <c r="AH104" s="1771"/>
      <c r="AI104" s="1767"/>
      <c r="AJ104" s="1036"/>
      <c r="AK104" s="1036"/>
      <c r="AN104" s="1943"/>
      <c r="AO104" s="1943"/>
      <c r="AP104" s="1944"/>
    </row>
    <row r="105" spans="1:42" ht="30" customHeight="1">
      <c r="A105" s="413">
        <v>55</v>
      </c>
      <c r="B105" s="2647" t="str">
        <f>IF(元請調査票データ!C231="","",元請調査票データ!C231)</f>
        <v/>
      </c>
      <c r="C105" s="2647"/>
      <c r="D105" s="394" t="str">
        <f>IF(元請調査票データ!G231="","",元請調査票データ!G231)</f>
        <v/>
      </c>
      <c r="E105" s="428" t="str">
        <f>IF(元請調査票データ!H231="","",元請調査票データ!H231)</f>
        <v/>
      </c>
      <c r="F105" s="2648" t="str">
        <f t="shared" si="6"/>
        <v/>
      </c>
      <c r="G105" s="2649"/>
      <c r="H105" s="402" t="str">
        <f t="shared" si="7"/>
        <v/>
      </c>
      <c r="I105" s="395"/>
      <c r="J105" s="385"/>
      <c r="K105" s="1826"/>
      <c r="L105" s="1464"/>
      <c r="M105" s="59"/>
      <c r="N105" s="194"/>
      <c r="O105" s="1466"/>
      <c r="P105" s="1466"/>
      <c r="Q105" s="1244"/>
      <c r="R105" s="497" t="str">
        <f t="shared" si="8"/>
        <v/>
      </c>
      <c r="Z105" s="1036">
        <f t="shared" si="11"/>
        <v>102</v>
      </c>
      <c r="AA105" s="1772"/>
      <c r="AB105" s="1773"/>
      <c r="AC105" s="1769"/>
      <c r="AD105" s="1769"/>
      <c r="AE105" s="1770"/>
      <c r="AF105" s="1767"/>
      <c r="AG105" s="1767"/>
      <c r="AH105" s="1771"/>
      <c r="AI105" s="1767"/>
      <c r="AJ105" s="1036"/>
      <c r="AK105" s="1036"/>
      <c r="AN105" s="1943"/>
      <c r="AO105" s="1943"/>
      <c r="AP105" s="1944"/>
    </row>
    <row r="106" spans="1:42" ht="30" customHeight="1">
      <c r="A106" s="413">
        <v>56</v>
      </c>
      <c r="B106" s="2647" t="str">
        <f>IF(元請調査票データ!C232="","",元請調査票データ!C232)</f>
        <v/>
      </c>
      <c r="C106" s="2647"/>
      <c r="D106" s="394" t="str">
        <f>IF(元請調査票データ!G232="","",元請調査票データ!G232)</f>
        <v/>
      </c>
      <c r="E106" s="428" t="str">
        <f>IF(元請調査票データ!H232="","",元請調査票データ!H232)</f>
        <v/>
      </c>
      <c r="F106" s="2648" t="str">
        <f t="shared" si="6"/>
        <v/>
      </c>
      <c r="G106" s="2649"/>
      <c r="H106" s="402" t="str">
        <f t="shared" si="7"/>
        <v/>
      </c>
      <c r="I106" s="395"/>
      <c r="J106" s="385"/>
      <c r="K106" s="1826"/>
      <c r="L106" s="1464"/>
      <c r="M106" s="59"/>
      <c r="N106" s="194"/>
      <c r="O106" s="1466"/>
      <c r="P106" s="1466"/>
      <c r="Q106" s="1244"/>
      <c r="R106" s="497" t="str">
        <f t="shared" si="8"/>
        <v/>
      </c>
      <c r="Z106" s="1036">
        <f t="shared" si="11"/>
        <v>103</v>
      </c>
      <c r="AA106" s="1772"/>
      <c r="AB106" s="1773"/>
      <c r="AC106" s="1769"/>
      <c r="AD106" s="1769"/>
      <c r="AE106" s="1770"/>
      <c r="AF106" s="1767"/>
      <c r="AG106" s="1767"/>
      <c r="AH106" s="1771"/>
      <c r="AI106" s="1767"/>
      <c r="AJ106" s="1036"/>
      <c r="AK106" s="1036"/>
      <c r="AN106" s="1943"/>
      <c r="AO106" s="1943"/>
      <c r="AP106" s="1944"/>
    </row>
    <row r="107" spans="1:42" ht="30" customHeight="1">
      <c r="A107" s="413">
        <v>57</v>
      </c>
      <c r="B107" s="2647" t="str">
        <f>IF(元請調査票データ!C233="","",元請調査票データ!C233)</f>
        <v/>
      </c>
      <c r="C107" s="2647"/>
      <c r="D107" s="394" t="str">
        <f>IF(元請調査票データ!G233="","",元請調査票データ!G233)</f>
        <v/>
      </c>
      <c r="E107" s="428" t="str">
        <f>IF(元請調査票データ!H233="","",元請調査票データ!H233)</f>
        <v/>
      </c>
      <c r="F107" s="2648" t="str">
        <f t="shared" si="6"/>
        <v/>
      </c>
      <c r="G107" s="2649"/>
      <c r="H107" s="402" t="str">
        <f t="shared" si="7"/>
        <v/>
      </c>
      <c r="I107" s="395"/>
      <c r="J107" s="385"/>
      <c r="K107" s="1826"/>
      <c r="L107" s="1464"/>
      <c r="M107" s="59"/>
      <c r="N107" s="194"/>
      <c r="O107" s="1466"/>
      <c r="P107" s="1466"/>
      <c r="Q107" s="1244"/>
      <c r="R107" s="497" t="str">
        <f t="shared" si="8"/>
        <v/>
      </c>
      <c r="Z107" s="1036">
        <f t="shared" si="11"/>
        <v>104</v>
      </c>
      <c r="AA107" s="1772"/>
      <c r="AB107" s="1773"/>
      <c r="AC107" s="1769"/>
      <c r="AD107" s="1769"/>
      <c r="AE107" s="1770"/>
      <c r="AF107" s="1767"/>
      <c r="AG107" s="1767"/>
      <c r="AH107" s="1771"/>
      <c r="AI107" s="1767"/>
      <c r="AJ107" s="1036"/>
      <c r="AK107" s="1036"/>
      <c r="AN107" s="1943"/>
      <c r="AO107" s="1943"/>
      <c r="AP107" s="1944"/>
    </row>
    <row r="108" spans="1:42" ht="30" customHeight="1">
      <c r="A108" s="413">
        <v>58</v>
      </c>
      <c r="B108" s="2647" t="str">
        <f>IF(元請調査票データ!C234="","",元請調査票データ!C234)</f>
        <v/>
      </c>
      <c r="C108" s="2647"/>
      <c r="D108" s="394" t="str">
        <f>IF(元請調査票データ!G234="","",元請調査票データ!G234)</f>
        <v/>
      </c>
      <c r="E108" s="428" t="str">
        <f>IF(元請調査票データ!H234="","",元請調査票データ!H234)</f>
        <v/>
      </c>
      <c r="F108" s="2648" t="str">
        <f t="shared" si="6"/>
        <v/>
      </c>
      <c r="G108" s="2649"/>
      <c r="H108" s="402" t="str">
        <f t="shared" si="7"/>
        <v/>
      </c>
      <c r="I108" s="395"/>
      <c r="J108" s="385"/>
      <c r="K108" s="1826"/>
      <c r="L108" s="1464"/>
      <c r="M108" s="59"/>
      <c r="N108" s="194"/>
      <c r="O108" s="1466"/>
      <c r="P108" s="1466"/>
      <c r="Q108" s="1244"/>
      <c r="R108" s="497" t="str">
        <f t="shared" si="8"/>
        <v/>
      </c>
      <c r="Z108" s="1036">
        <f t="shared" si="11"/>
        <v>105</v>
      </c>
      <c r="AA108" s="1772"/>
      <c r="AB108" s="1773"/>
      <c r="AC108" s="1769"/>
      <c r="AD108" s="1769"/>
      <c r="AE108" s="1770"/>
      <c r="AF108" s="1767"/>
      <c r="AG108" s="1767"/>
      <c r="AH108" s="1771"/>
      <c r="AI108" s="1767"/>
      <c r="AJ108" s="1036"/>
      <c r="AK108" s="1036"/>
      <c r="AN108" s="1943"/>
      <c r="AO108" s="1943"/>
      <c r="AP108" s="1944"/>
    </row>
    <row r="109" spans="1:42" ht="30" customHeight="1">
      <c r="A109" s="413">
        <v>59</v>
      </c>
      <c r="B109" s="2647" t="str">
        <f>IF(元請調査票データ!C235="","",元請調査票データ!C235)</f>
        <v/>
      </c>
      <c r="C109" s="2647"/>
      <c r="D109" s="394" t="str">
        <f>IF(元請調査票データ!G235="","",元請調査票データ!G235)</f>
        <v/>
      </c>
      <c r="E109" s="428" t="str">
        <f>IF(元請調査票データ!H235="","",元請調査票データ!H235)</f>
        <v/>
      </c>
      <c r="F109" s="2648" t="str">
        <f t="shared" si="6"/>
        <v/>
      </c>
      <c r="G109" s="2649"/>
      <c r="H109" s="402" t="str">
        <f t="shared" si="7"/>
        <v/>
      </c>
      <c r="I109" s="395"/>
      <c r="J109" s="385"/>
      <c r="K109" s="1826"/>
      <c r="L109" s="1464"/>
      <c r="M109" s="59"/>
      <c r="N109" s="194"/>
      <c r="O109" s="1466"/>
      <c r="P109" s="1466"/>
      <c r="Q109" s="1244"/>
      <c r="R109" s="497" t="str">
        <f t="shared" si="8"/>
        <v/>
      </c>
      <c r="Z109" s="1036">
        <f t="shared" si="11"/>
        <v>106</v>
      </c>
      <c r="AA109" s="1772"/>
      <c r="AB109" s="1773"/>
      <c r="AC109" s="1769"/>
      <c r="AD109" s="1769"/>
      <c r="AE109" s="1770"/>
      <c r="AF109" s="1767"/>
      <c r="AG109" s="1767"/>
      <c r="AH109" s="1771"/>
      <c r="AI109" s="1767"/>
      <c r="AJ109" s="1036"/>
      <c r="AK109" s="1036"/>
      <c r="AN109" s="1943"/>
      <c r="AO109" s="1943"/>
      <c r="AP109" s="1944"/>
    </row>
    <row r="110" spans="1:42" ht="30" customHeight="1">
      <c r="A110" s="413">
        <v>60</v>
      </c>
      <c r="B110" s="2647" t="str">
        <f>IF(元請調査票データ!C236="","",元請調査票データ!C236)</f>
        <v/>
      </c>
      <c r="C110" s="2647"/>
      <c r="D110" s="394" t="str">
        <f>IF(元請調査票データ!G236="","",元請調査票データ!G236)</f>
        <v/>
      </c>
      <c r="E110" s="428" t="str">
        <f>IF(元請調査票データ!H236="","",元請調査票データ!H236)</f>
        <v/>
      </c>
      <c r="F110" s="2648" t="str">
        <f t="shared" si="6"/>
        <v/>
      </c>
      <c r="G110" s="2649"/>
      <c r="H110" s="402" t="str">
        <f t="shared" si="7"/>
        <v/>
      </c>
      <c r="I110" s="395"/>
      <c r="J110" s="385"/>
      <c r="K110" s="1464"/>
      <c r="L110" s="59"/>
      <c r="M110" s="1464"/>
      <c r="N110" s="194"/>
      <c r="O110" s="1466"/>
      <c r="P110" s="1466"/>
      <c r="Q110" s="1244"/>
      <c r="R110" s="497" t="str">
        <f t="shared" si="8"/>
        <v/>
      </c>
      <c r="Z110" s="1036">
        <f t="shared" si="11"/>
        <v>107</v>
      </c>
      <c r="AA110" s="1772"/>
      <c r="AB110" s="1773"/>
      <c r="AC110" s="1769"/>
      <c r="AD110" s="1769"/>
      <c r="AE110" s="1770"/>
      <c r="AF110" s="1767"/>
      <c r="AG110" s="1767"/>
      <c r="AH110" s="1771"/>
      <c r="AI110" s="1767"/>
      <c r="AJ110" s="1036"/>
      <c r="AK110" s="1036"/>
      <c r="AN110" s="1943"/>
      <c r="AO110" s="1943"/>
      <c r="AP110" s="1944"/>
    </row>
    <row r="111" spans="1:42" ht="30" customHeight="1">
      <c r="A111" s="421"/>
      <c r="B111" s="2650"/>
      <c r="C111" s="2650"/>
      <c r="D111" s="422"/>
      <c r="E111" s="423"/>
      <c r="F111" s="2651"/>
      <c r="G111" s="2651"/>
      <c r="H111" s="424"/>
      <c r="I111" s="565"/>
      <c r="J111" s="385"/>
      <c r="K111" s="1464"/>
      <c r="L111" s="1464"/>
      <c r="M111" s="59"/>
      <c r="N111" s="194"/>
      <c r="O111" s="1466"/>
      <c r="P111" s="1466"/>
      <c r="Q111" s="1244"/>
      <c r="Z111" s="1036">
        <f t="shared" si="11"/>
        <v>108</v>
      </c>
      <c r="AA111" s="1772"/>
      <c r="AB111" s="1773"/>
      <c r="AC111" s="1769"/>
      <c r="AD111" s="1769"/>
      <c r="AE111" s="1770"/>
      <c r="AF111" s="1767"/>
      <c r="AG111" s="1767"/>
      <c r="AH111" s="1771"/>
      <c r="AI111" s="1767"/>
      <c r="AJ111" s="1036"/>
      <c r="AK111" s="1036"/>
    </row>
    <row r="112" spans="1:42" ht="30" customHeight="1">
      <c r="A112" s="421"/>
      <c r="B112" s="715"/>
      <c r="C112" s="715"/>
      <c r="D112" s="425"/>
      <c r="E112" s="426"/>
      <c r="F112" s="714"/>
      <c r="G112" s="714"/>
      <c r="H112" s="427"/>
      <c r="I112" s="565"/>
      <c r="J112" s="385"/>
      <c r="K112" s="1464"/>
      <c r="L112" s="1464"/>
      <c r="M112" s="59"/>
      <c r="N112" s="194"/>
      <c r="O112" s="1466"/>
      <c r="P112" s="1466"/>
      <c r="Q112" s="1244"/>
      <c r="Z112" s="1036">
        <f t="shared" si="11"/>
        <v>109</v>
      </c>
      <c r="AA112" s="1772"/>
      <c r="AB112" s="1773"/>
      <c r="AC112" s="1769"/>
      <c r="AD112" s="1769"/>
      <c r="AE112" s="1770"/>
      <c r="AF112" s="1767"/>
      <c r="AG112" s="1767"/>
      <c r="AH112" s="1771"/>
      <c r="AI112" s="1767"/>
      <c r="AJ112" s="1036"/>
      <c r="AK112" s="1036"/>
    </row>
    <row r="113" spans="1:37" ht="30" customHeight="1">
      <c r="A113" s="421"/>
      <c r="B113" s="715"/>
      <c r="C113" s="715"/>
      <c r="D113" s="425"/>
      <c r="E113" s="426"/>
      <c r="F113" s="714"/>
      <c r="G113" s="714"/>
      <c r="H113" s="427"/>
      <c r="I113" s="565"/>
      <c r="J113" s="385"/>
      <c r="K113" s="1464"/>
      <c r="L113" s="1464"/>
      <c r="M113" s="59"/>
      <c r="N113" s="194"/>
      <c r="O113" s="1466"/>
      <c r="P113" s="1466"/>
      <c r="Q113" s="1244"/>
      <c r="Z113" s="1036">
        <f t="shared" si="11"/>
        <v>110</v>
      </c>
      <c r="AA113" s="1772"/>
      <c r="AB113" s="1773"/>
      <c r="AC113" s="1769"/>
      <c r="AD113" s="1769"/>
      <c r="AE113" s="1770"/>
      <c r="AF113" s="1767"/>
      <c r="AG113" s="1767"/>
      <c r="AH113" s="1771"/>
      <c r="AI113" s="1767"/>
      <c r="AJ113" s="1036"/>
      <c r="AK113" s="1036"/>
    </row>
    <row r="114" spans="1:37" ht="30" customHeight="1">
      <c r="A114" s="421"/>
      <c r="B114" s="2645"/>
      <c r="C114" s="2645"/>
      <c r="D114" s="425"/>
      <c r="E114" s="426"/>
      <c r="F114" s="2646"/>
      <c r="G114" s="2646"/>
      <c r="H114" s="427"/>
      <c r="I114" s="565"/>
      <c r="J114" s="385"/>
      <c r="K114" s="1464"/>
      <c r="L114" s="1464"/>
      <c r="M114" s="59"/>
      <c r="N114" s="194"/>
      <c r="O114" s="1466"/>
      <c r="P114" s="1466"/>
      <c r="Q114" s="1244"/>
      <c r="Z114" s="1036">
        <f t="shared" si="11"/>
        <v>111</v>
      </c>
      <c r="AA114" s="1772"/>
      <c r="AB114" s="1773"/>
      <c r="AC114" s="1769"/>
      <c r="AD114" s="1769"/>
      <c r="AE114" s="1770"/>
      <c r="AF114" s="1767"/>
      <c r="AG114" s="1767"/>
      <c r="AH114" s="1771"/>
      <c r="AI114" s="1767"/>
      <c r="AJ114" s="1036"/>
      <c r="AK114" s="1036"/>
    </row>
    <row r="115" spans="1:37" ht="30" customHeight="1">
      <c r="A115" s="421"/>
      <c r="B115" s="715"/>
      <c r="C115" s="715"/>
      <c r="D115" s="425"/>
      <c r="E115" s="426"/>
      <c r="F115" s="714"/>
      <c r="G115" s="714"/>
      <c r="H115" s="427"/>
      <c r="I115" s="565"/>
      <c r="J115" s="385"/>
      <c r="K115" s="1464"/>
      <c r="L115" s="1464"/>
      <c r="M115" s="59"/>
      <c r="N115" s="194"/>
      <c r="O115" s="1466"/>
      <c r="P115" s="1466"/>
      <c r="Q115" s="1244"/>
      <c r="Z115" s="1036">
        <f t="shared" si="11"/>
        <v>112</v>
      </c>
      <c r="AA115" s="1772"/>
      <c r="AB115" s="1773"/>
      <c r="AC115" s="1769"/>
      <c r="AD115" s="1769"/>
      <c r="AE115" s="1770"/>
      <c r="AF115" s="1767"/>
      <c r="AG115" s="1767"/>
      <c r="AH115" s="1771"/>
      <c r="AI115" s="1767"/>
      <c r="AJ115" s="1036"/>
      <c r="AK115" s="1036"/>
    </row>
    <row r="116" spans="1:37" ht="30" customHeight="1">
      <c r="A116" s="421"/>
      <c r="B116" s="715"/>
      <c r="C116" s="715"/>
      <c r="D116" s="425"/>
      <c r="E116" s="426"/>
      <c r="F116" s="714"/>
      <c r="G116" s="714"/>
      <c r="H116" s="427"/>
      <c r="I116" s="565"/>
      <c r="J116" s="385"/>
      <c r="K116" s="1464"/>
      <c r="L116" s="1464"/>
      <c r="M116" s="59"/>
      <c r="N116" s="194"/>
      <c r="O116" s="1466"/>
      <c r="P116" s="1466"/>
      <c r="Q116" s="1244"/>
      <c r="Z116" s="1036">
        <f t="shared" si="11"/>
        <v>113</v>
      </c>
      <c r="AA116" s="1772"/>
      <c r="AB116" s="1773"/>
      <c r="AC116" s="1769"/>
      <c r="AD116" s="1769"/>
      <c r="AE116" s="1770"/>
      <c r="AF116" s="1767"/>
      <c r="AG116" s="1767"/>
      <c r="AH116" s="1771"/>
      <c r="AI116" s="1767"/>
    </row>
    <row r="117" spans="1:37" ht="30" customHeight="1">
      <c r="A117" s="421"/>
      <c r="B117" s="2645"/>
      <c r="C117" s="2645"/>
      <c r="D117" s="425"/>
      <c r="E117" s="426"/>
      <c r="F117" s="2646"/>
      <c r="G117" s="2646"/>
      <c r="H117" s="427"/>
      <c r="I117" s="565"/>
      <c r="J117" s="385"/>
      <c r="K117" s="1464"/>
      <c r="L117" s="1464"/>
      <c r="M117" s="59"/>
      <c r="N117" s="194"/>
      <c r="O117" s="1466"/>
      <c r="P117" s="1466"/>
      <c r="Q117" s="1244"/>
    </row>
    <row r="118" spans="1:37" ht="30" customHeight="1">
      <c r="A118" s="421"/>
      <c r="B118" s="2645"/>
      <c r="C118" s="2645"/>
      <c r="D118" s="425"/>
      <c r="E118" s="426"/>
      <c r="F118" s="2646"/>
      <c r="G118" s="2646"/>
      <c r="H118" s="427"/>
      <c r="I118" s="565"/>
      <c r="J118" s="385"/>
      <c r="K118" s="1464"/>
      <c r="L118" s="1464"/>
      <c r="M118" s="59"/>
      <c r="N118" s="194"/>
      <c r="O118" s="1466"/>
      <c r="P118" s="1466"/>
      <c r="Q118" s="1825"/>
    </row>
    <row r="119" spans="1:37" ht="30" customHeight="1">
      <c r="A119" s="421"/>
      <c r="B119" s="2645"/>
      <c r="C119" s="2645"/>
      <c r="D119" s="425"/>
      <c r="E119" s="426"/>
      <c r="F119" s="2646"/>
      <c r="G119" s="2646"/>
      <c r="H119" s="427"/>
      <c r="I119" s="565"/>
      <c r="J119" s="385"/>
      <c r="K119" s="1464"/>
      <c r="L119" s="1464"/>
      <c r="M119" s="59"/>
      <c r="N119" s="194"/>
      <c r="O119" s="1466"/>
      <c r="P119" s="1466"/>
      <c r="Q119" s="1244"/>
    </row>
    <row r="120" spans="1:37" ht="30" customHeight="1">
      <c r="A120" s="421"/>
      <c r="B120" s="2645"/>
      <c r="C120" s="2645"/>
      <c r="D120" s="425"/>
      <c r="E120" s="426"/>
      <c r="F120" s="2646"/>
      <c r="G120" s="2646"/>
      <c r="H120" s="427"/>
      <c r="I120" s="565"/>
      <c r="J120" s="385"/>
      <c r="K120" s="1464"/>
      <c r="L120" s="1464"/>
      <c r="M120" s="59"/>
      <c r="N120" s="194"/>
      <c r="O120" s="1466"/>
      <c r="P120" s="1466"/>
      <c r="Q120" s="1244"/>
    </row>
    <row r="121" spans="1:37" ht="30" customHeight="1">
      <c r="B121" s="315"/>
      <c r="C121" s="387"/>
      <c r="D121" s="388"/>
      <c r="E121" s="388"/>
      <c r="F121" s="388"/>
      <c r="G121" s="388"/>
      <c r="H121" s="389"/>
      <c r="I121" s="389"/>
      <c r="J121" s="385"/>
      <c r="K121" s="1464"/>
      <c r="L121" s="1464"/>
      <c r="M121" s="59"/>
      <c r="N121" s="194"/>
      <c r="O121" s="1466"/>
      <c r="P121" s="1466"/>
      <c r="Q121" s="1244"/>
    </row>
    <row r="122" spans="1:37" ht="30" customHeight="1">
      <c r="B122" s="315"/>
      <c r="C122" s="387"/>
      <c r="D122" s="389"/>
      <c r="E122" s="389"/>
      <c r="F122" s="389"/>
      <c r="G122" s="389"/>
      <c r="H122" s="389"/>
      <c r="I122" s="389"/>
      <c r="J122" s="385"/>
      <c r="K122" s="1464"/>
      <c r="L122" s="1830"/>
      <c r="M122" s="1831"/>
      <c r="N122" s="1465"/>
      <c r="O122" s="1466"/>
      <c r="P122" s="1466"/>
      <c r="Q122" s="1244"/>
    </row>
    <row r="123" spans="1:37" ht="30" customHeight="1">
      <c r="B123" s="315"/>
      <c r="C123" s="387"/>
      <c r="D123" s="391"/>
      <c r="E123" s="391"/>
      <c r="F123" s="391"/>
      <c r="G123" s="391"/>
      <c r="H123" s="389"/>
      <c r="I123" s="389"/>
      <c r="J123" s="385"/>
      <c r="K123" s="1464"/>
      <c r="L123" s="59"/>
      <c r="M123" s="1464"/>
      <c r="N123" s="194"/>
      <c r="O123" s="1466"/>
      <c r="P123" s="1466"/>
      <c r="Q123" s="1244"/>
    </row>
    <row r="124" spans="1:37" ht="30" customHeight="1">
      <c r="B124" s="315"/>
      <c r="C124" s="387"/>
      <c r="D124" s="388"/>
      <c r="E124" s="388"/>
      <c r="F124" s="388"/>
      <c r="G124" s="388"/>
      <c r="H124" s="389"/>
      <c r="I124" s="389"/>
      <c r="J124" s="385"/>
      <c r="K124" s="1826"/>
      <c r="L124" s="1464"/>
      <c r="M124" s="59"/>
      <c r="N124" s="194"/>
      <c r="O124" s="1466"/>
      <c r="P124" s="1466"/>
      <c r="Q124" s="1244"/>
    </row>
    <row r="125" spans="1:37" ht="30" customHeight="1">
      <c r="B125" s="315"/>
      <c r="C125" s="387"/>
      <c r="D125" s="388"/>
      <c r="E125" s="388"/>
      <c r="F125" s="388"/>
      <c r="G125" s="388"/>
      <c r="H125" s="389"/>
      <c r="I125" s="389"/>
      <c r="J125" s="385"/>
      <c r="K125" s="1826"/>
      <c r="L125" s="1464"/>
      <c r="M125" s="59"/>
      <c r="N125" s="194"/>
      <c r="O125" s="1466"/>
      <c r="P125" s="1466"/>
      <c r="Q125" s="1244"/>
    </row>
    <row r="126" spans="1:37" ht="30" customHeight="1">
      <c r="B126" s="389"/>
      <c r="C126" s="387"/>
      <c r="D126" s="388"/>
      <c r="E126" s="388"/>
      <c r="F126" s="388"/>
      <c r="G126" s="388"/>
      <c r="H126" s="389"/>
      <c r="I126" s="389"/>
      <c r="J126" s="385"/>
      <c r="K126" s="1826"/>
      <c r="L126" s="1464"/>
      <c r="M126" s="59"/>
      <c r="N126" s="194"/>
      <c r="O126" s="1466"/>
      <c r="P126" s="1466"/>
      <c r="Q126" s="1244"/>
    </row>
    <row r="127" spans="1:37" ht="30" customHeight="1">
      <c r="B127" s="389"/>
      <c r="C127" s="387"/>
      <c r="D127" s="388"/>
      <c r="E127" s="388"/>
      <c r="F127" s="388"/>
      <c r="G127" s="388"/>
      <c r="H127" s="389"/>
      <c r="I127" s="389"/>
      <c r="J127" s="385"/>
      <c r="K127" s="1826"/>
      <c r="L127" s="1464"/>
      <c r="M127" s="59"/>
      <c r="N127" s="194"/>
      <c r="O127" s="1466"/>
      <c r="P127" s="1466"/>
      <c r="Q127" s="1244"/>
    </row>
    <row r="128" spans="1:37" ht="30" customHeight="1">
      <c r="B128" s="389"/>
      <c r="C128" s="387"/>
      <c r="D128" s="388"/>
      <c r="E128" s="388"/>
      <c r="F128" s="388"/>
      <c r="G128" s="388"/>
      <c r="H128" s="389"/>
      <c r="I128" s="389"/>
      <c r="J128" s="385"/>
      <c r="K128" s="1826"/>
      <c r="L128" s="1464"/>
      <c r="M128" s="59"/>
      <c r="N128" s="194"/>
      <c r="O128" s="1466"/>
      <c r="P128" s="1466"/>
      <c r="Q128" s="1244"/>
    </row>
    <row r="129" spans="2:17" ht="30" customHeight="1">
      <c r="B129" s="389"/>
      <c r="C129" s="387"/>
      <c r="D129" s="388"/>
      <c r="E129" s="388"/>
      <c r="F129" s="388"/>
      <c r="G129" s="388"/>
      <c r="H129" s="389"/>
      <c r="I129" s="389"/>
      <c r="J129" s="385"/>
      <c r="K129" s="1464"/>
      <c r="L129" s="59"/>
      <c r="M129" s="1464"/>
      <c r="N129" s="1465"/>
      <c r="O129" s="1466"/>
      <c r="P129" s="1466"/>
      <c r="Q129" s="1244"/>
    </row>
    <row r="130" spans="2:17" ht="30" customHeight="1">
      <c r="B130" s="389"/>
      <c r="C130" s="387"/>
      <c r="D130" s="388"/>
      <c r="E130" s="388"/>
      <c r="F130" s="388"/>
      <c r="G130" s="388"/>
      <c r="H130" s="389"/>
      <c r="I130" s="389"/>
      <c r="J130" s="385"/>
      <c r="K130" s="1463"/>
      <c r="L130" s="1463"/>
      <c r="M130" s="1463"/>
      <c r="N130" s="1463"/>
      <c r="O130" s="1463"/>
      <c r="P130" s="1463"/>
      <c r="Q130" s="1244"/>
    </row>
    <row r="131" spans="2:17" ht="30" customHeight="1">
      <c r="B131" s="389"/>
      <c r="C131" s="387"/>
      <c r="D131" s="388"/>
      <c r="E131" s="388"/>
      <c r="F131" s="388"/>
      <c r="G131" s="388"/>
      <c r="H131" s="389"/>
      <c r="I131" s="389"/>
      <c r="J131" s="385"/>
      <c r="K131" s="1463"/>
      <c r="L131" s="1463"/>
      <c r="M131" s="1463"/>
      <c r="N131" s="1463"/>
      <c r="O131" s="1463"/>
      <c r="P131" s="1463"/>
      <c r="Q131" s="381"/>
    </row>
    <row r="132" spans="2:17" ht="30" customHeight="1">
      <c r="B132" s="389"/>
      <c r="C132" s="387"/>
      <c r="D132" s="388"/>
      <c r="E132" s="388"/>
      <c r="F132" s="388"/>
      <c r="G132" s="388"/>
      <c r="H132" s="389"/>
      <c r="I132" s="389"/>
      <c r="J132" s="385"/>
      <c r="K132" s="1463"/>
      <c r="L132" s="1463"/>
      <c r="M132" s="1463"/>
      <c r="N132" s="1463"/>
      <c r="O132" s="1463"/>
      <c r="P132" s="1463"/>
      <c r="Q132" s="381"/>
    </row>
    <row r="133" spans="2:17" ht="30" customHeight="1">
      <c r="B133" s="389"/>
      <c r="C133" s="387"/>
      <c r="D133" s="388"/>
      <c r="E133" s="388"/>
      <c r="F133" s="388"/>
      <c r="G133" s="388"/>
      <c r="H133" s="389"/>
      <c r="I133" s="389"/>
      <c r="J133" s="385"/>
      <c r="K133" s="1463"/>
      <c r="L133" s="1463"/>
      <c r="M133" s="1463"/>
      <c r="N133" s="1463"/>
      <c r="O133" s="1463"/>
      <c r="P133" s="1463"/>
      <c r="Q133" s="381"/>
    </row>
    <row r="134" spans="2:17" ht="30" customHeight="1">
      <c r="B134" s="389"/>
      <c r="C134" s="387"/>
      <c r="D134" s="388"/>
      <c r="E134" s="388"/>
      <c r="F134" s="388"/>
      <c r="G134" s="388"/>
      <c r="H134" s="389"/>
      <c r="I134" s="389"/>
      <c r="J134" s="385"/>
      <c r="K134" s="1463"/>
      <c r="L134" s="1463"/>
      <c r="M134" s="1463"/>
      <c r="N134" s="1463"/>
      <c r="O134" s="1463"/>
      <c r="P134" s="1463"/>
    </row>
    <row r="135" spans="2:17" ht="30" customHeight="1">
      <c r="B135" s="389"/>
      <c r="C135" s="387"/>
      <c r="D135" s="388"/>
      <c r="E135" s="388"/>
      <c r="F135" s="388"/>
      <c r="G135" s="388"/>
      <c r="H135" s="389"/>
      <c r="I135" s="389"/>
      <c r="J135" s="385"/>
      <c r="K135" s="1464"/>
      <c r="L135" s="59"/>
      <c r="M135" s="1464"/>
      <c r="N135" s="1465"/>
      <c r="O135" s="1466"/>
      <c r="P135" s="1466"/>
    </row>
    <row r="136" spans="2:17" ht="30" customHeight="1">
      <c r="B136" s="389"/>
      <c r="C136" s="387"/>
      <c r="D136" s="388"/>
      <c r="E136" s="388"/>
      <c r="F136" s="388"/>
      <c r="G136" s="388"/>
      <c r="H136" s="389"/>
      <c r="I136" s="389"/>
      <c r="J136" s="385"/>
    </row>
    <row r="137" spans="2:17" ht="30" customHeight="1">
      <c r="B137" s="389"/>
      <c r="C137" s="387"/>
      <c r="D137" s="388"/>
      <c r="E137" s="388"/>
      <c r="F137" s="388"/>
      <c r="G137" s="388"/>
      <c r="H137" s="389"/>
      <c r="I137" s="389"/>
      <c r="J137" s="385"/>
    </row>
    <row r="138" spans="2:17" ht="30" customHeight="1">
      <c r="B138" s="389"/>
      <c r="C138" s="387"/>
      <c r="D138" s="388"/>
      <c r="E138" s="388"/>
      <c r="F138" s="388"/>
      <c r="G138" s="388"/>
      <c r="H138" s="389"/>
      <c r="I138" s="389"/>
      <c r="J138" s="386"/>
    </row>
    <row r="139" spans="2:17" ht="30" customHeight="1">
      <c r="B139" s="389"/>
      <c r="C139" s="387"/>
      <c r="D139" s="388"/>
      <c r="E139" s="388"/>
      <c r="F139" s="388"/>
      <c r="G139" s="388"/>
      <c r="H139" s="389"/>
      <c r="I139" s="389"/>
      <c r="J139" s="386"/>
    </row>
    <row r="140" spans="2:17" ht="30" customHeight="1">
      <c r="B140" s="390"/>
      <c r="C140" s="387"/>
      <c r="D140" s="388"/>
      <c r="E140" s="388"/>
      <c r="F140" s="388"/>
      <c r="G140" s="388"/>
      <c r="H140" s="389"/>
      <c r="I140" s="389"/>
      <c r="J140" s="385"/>
    </row>
    <row r="141" spans="2:17" ht="30" customHeight="1">
      <c r="B141" s="390"/>
      <c r="C141" s="387"/>
      <c r="D141" s="388"/>
      <c r="E141" s="388"/>
      <c r="F141" s="388"/>
      <c r="G141" s="388"/>
      <c r="H141" s="389"/>
      <c r="I141" s="389"/>
      <c r="J141" s="385"/>
    </row>
    <row r="142" spans="2:17" ht="30.95" customHeight="1">
      <c r="B142" s="390"/>
      <c r="C142" s="387"/>
      <c r="D142" s="388"/>
      <c r="E142" s="388"/>
      <c r="F142" s="388"/>
      <c r="G142" s="388"/>
      <c r="H142" s="389"/>
      <c r="I142" s="389"/>
      <c r="J142" s="385"/>
    </row>
    <row r="143" spans="2:17" ht="30.95" customHeight="1">
      <c r="B143" s="390"/>
      <c r="C143" s="387"/>
      <c r="D143" s="388"/>
      <c r="E143" s="388"/>
      <c r="F143" s="388"/>
      <c r="G143" s="388"/>
      <c r="H143" s="389"/>
      <c r="I143" s="389"/>
      <c r="J143" s="385"/>
    </row>
    <row r="144" spans="2:17" ht="30.95" customHeight="1">
      <c r="B144" s="390"/>
      <c r="C144" s="387"/>
      <c r="D144" s="388"/>
      <c r="E144" s="388"/>
      <c r="F144" s="388"/>
      <c r="G144" s="388"/>
      <c r="H144" s="389"/>
      <c r="I144" s="389"/>
      <c r="J144" s="386"/>
    </row>
    <row r="145" spans="2:10" ht="30.95" customHeight="1">
      <c r="B145" s="389"/>
      <c r="C145" s="387"/>
      <c r="D145" s="388"/>
      <c r="E145" s="388"/>
      <c r="F145" s="388"/>
      <c r="G145" s="388"/>
      <c r="H145" s="389"/>
      <c r="I145" s="389"/>
      <c r="J145" s="385"/>
    </row>
    <row r="146" spans="2:10" ht="30.95" customHeight="1">
      <c r="B146" s="389"/>
      <c r="C146" s="387"/>
      <c r="D146" s="388"/>
      <c r="E146" s="388"/>
      <c r="F146" s="388"/>
      <c r="G146" s="388"/>
      <c r="H146" s="389"/>
      <c r="I146" s="389"/>
      <c r="J146" s="385"/>
    </row>
    <row r="147" spans="2:10" ht="30.95" customHeight="1">
      <c r="B147" s="389"/>
      <c r="C147" s="387"/>
      <c r="D147" s="388"/>
      <c r="E147" s="388"/>
      <c r="F147" s="388"/>
      <c r="G147" s="388"/>
      <c r="H147" s="389"/>
      <c r="I147" s="389"/>
      <c r="J147" s="385"/>
    </row>
    <row r="148" spans="2:10" ht="30.95" customHeight="1">
      <c r="B148" s="389"/>
      <c r="C148" s="387"/>
      <c r="D148" s="388"/>
      <c r="E148" s="388"/>
      <c r="F148" s="388"/>
      <c r="G148" s="388"/>
      <c r="H148" s="389"/>
      <c r="I148" s="389"/>
      <c r="J148" s="385"/>
    </row>
    <row r="149" spans="2:10" ht="30.95" customHeight="1">
      <c r="B149" s="389"/>
      <c r="C149" s="387"/>
      <c r="D149" s="391"/>
      <c r="E149" s="391"/>
      <c r="F149" s="391"/>
      <c r="G149" s="391"/>
      <c r="H149" s="391"/>
      <c r="I149" s="391"/>
      <c r="J149" s="385"/>
    </row>
    <row r="150" spans="2:10" ht="30.95" customHeight="1">
      <c r="B150" s="389"/>
      <c r="C150" s="387"/>
      <c r="D150" s="391"/>
      <c r="E150" s="391"/>
      <c r="F150" s="391"/>
      <c r="G150" s="391"/>
      <c r="H150" s="391"/>
      <c r="I150" s="391"/>
      <c r="J150" s="385"/>
    </row>
    <row r="151" spans="2:10" ht="30.95" customHeight="1">
      <c r="B151" s="389"/>
      <c r="C151" s="387"/>
      <c r="D151" s="391"/>
      <c r="E151" s="391"/>
      <c r="F151" s="391"/>
      <c r="G151" s="391"/>
      <c r="H151" s="391"/>
      <c r="I151" s="391"/>
      <c r="J151" s="386"/>
    </row>
    <row r="152" spans="2:10" ht="30.95" customHeight="1">
      <c r="B152" s="389"/>
      <c r="C152" s="387"/>
      <c r="D152" s="391"/>
      <c r="E152" s="391"/>
      <c r="F152" s="391"/>
      <c r="G152" s="391"/>
      <c r="H152" s="391"/>
      <c r="I152" s="391"/>
      <c r="J152" s="385"/>
    </row>
    <row r="153" spans="2:10" ht="30.95" customHeight="1">
      <c r="B153" s="389"/>
      <c r="C153" s="387"/>
      <c r="D153" s="391"/>
      <c r="E153" s="391"/>
      <c r="F153" s="391"/>
      <c r="G153" s="391"/>
      <c r="H153" s="391"/>
      <c r="I153" s="391"/>
      <c r="J153" s="385"/>
    </row>
    <row r="154" spans="2:10" ht="30.95" customHeight="1">
      <c r="B154" s="389"/>
      <c r="C154" s="387"/>
      <c r="D154" s="391"/>
      <c r="E154" s="391"/>
      <c r="F154" s="391"/>
      <c r="G154" s="391"/>
      <c r="H154" s="391"/>
      <c r="I154" s="391"/>
      <c r="J154" s="385"/>
    </row>
    <row r="155" spans="2:10" ht="30.95" customHeight="1">
      <c r="B155" s="389"/>
      <c r="C155" s="387"/>
      <c r="D155" s="388"/>
      <c r="E155" s="388"/>
      <c r="F155" s="388"/>
      <c r="G155" s="388"/>
      <c r="H155" s="389"/>
      <c r="I155" s="389"/>
      <c r="J155" s="385"/>
    </row>
    <row r="156" spans="2:10" ht="30.95" customHeight="1">
      <c r="B156" s="389"/>
      <c r="C156" s="387"/>
      <c r="D156" s="388"/>
      <c r="E156" s="388"/>
      <c r="F156" s="388"/>
      <c r="G156" s="388"/>
      <c r="H156" s="389"/>
      <c r="I156" s="389"/>
      <c r="J156" s="385"/>
    </row>
    <row r="157" spans="2:10" ht="30.95" customHeight="1">
      <c r="B157" s="389"/>
      <c r="C157" s="387"/>
      <c r="D157" s="388"/>
      <c r="E157" s="388"/>
      <c r="F157" s="388"/>
      <c r="G157" s="388"/>
      <c r="H157" s="389"/>
      <c r="I157" s="389"/>
      <c r="J157" s="385"/>
    </row>
    <row r="158" spans="2:10" ht="30.95" customHeight="1">
      <c r="B158" s="389"/>
      <c r="C158" s="387"/>
      <c r="D158" s="389"/>
      <c r="E158" s="389"/>
      <c r="F158" s="389"/>
      <c r="G158" s="389"/>
      <c r="H158" s="389"/>
      <c r="I158" s="389"/>
      <c r="J158" s="381"/>
    </row>
    <row r="159" spans="2:10" ht="30.95" customHeight="1">
      <c r="B159" s="389"/>
      <c r="C159" s="387"/>
      <c r="D159" s="389"/>
      <c r="E159" s="389"/>
      <c r="F159" s="389"/>
      <c r="G159" s="389"/>
      <c r="H159" s="389"/>
      <c r="I159" s="389"/>
    </row>
    <row r="160" spans="2:10" ht="30.95" customHeight="1">
      <c r="B160" s="389"/>
      <c r="C160" s="387"/>
      <c r="D160" s="391"/>
      <c r="E160" s="391"/>
      <c r="F160" s="391"/>
      <c r="G160" s="391"/>
      <c r="H160" s="391"/>
      <c r="I160" s="391"/>
    </row>
    <row r="161" spans="2:9" ht="30.95" customHeight="1">
      <c r="B161" s="389"/>
      <c r="C161" s="387"/>
      <c r="D161" s="391"/>
      <c r="E161" s="391"/>
      <c r="F161" s="391"/>
      <c r="G161" s="391"/>
      <c r="H161" s="391"/>
      <c r="I161" s="391"/>
    </row>
    <row r="162" spans="2:9" ht="30.95" customHeight="1">
      <c r="B162" s="389"/>
      <c r="C162" s="387"/>
      <c r="D162" s="388"/>
      <c r="E162" s="388"/>
      <c r="F162" s="388"/>
      <c r="G162" s="388"/>
      <c r="H162" s="389"/>
      <c r="I162" s="389"/>
    </row>
    <row r="163" spans="2:9" ht="30.95" customHeight="1">
      <c r="B163" s="389"/>
      <c r="C163" s="387"/>
      <c r="D163" s="388"/>
      <c r="E163" s="388"/>
      <c r="F163" s="388"/>
      <c r="G163" s="388"/>
      <c r="H163" s="389"/>
      <c r="I163" s="389"/>
    </row>
    <row r="164" spans="2:9" ht="30.95" customHeight="1">
      <c r="B164" s="389"/>
      <c r="C164" s="387"/>
      <c r="D164" s="388"/>
      <c r="E164" s="388"/>
      <c r="F164" s="388"/>
      <c r="G164" s="388"/>
      <c r="H164" s="389"/>
      <c r="I164" s="389"/>
    </row>
    <row r="165" spans="2:9" ht="30.95" customHeight="1">
      <c r="B165" s="389"/>
      <c r="C165" s="387"/>
      <c r="D165" s="388"/>
      <c r="E165" s="388"/>
      <c r="F165" s="388"/>
      <c r="G165" s="388"/>
      <c r="H165" s="389"/>
      <c r="I165" s="389"/>
    </row>
    <row r="166" spans="2:9" ht="30.95" customHeight="1">
      <c r="B166" s="389"/>
      <c r="C166" s="387"/>
      <c r="D166" s="388"/>
      <c r="E166" s="388"/>
      <c r="F166" s="388"/>
      <c r="G166" s="388"/>
      <c r="H166" s="389"/>
      <c r="I166" s="389"/>
    </row>
    <row r="167" spans="2:9" ht="30.95" customHeight="1">
      <c r="B167" s="389"/>
      <c r="C167" s="387"/>
      <c r="D167" s="389"/>
      <c r="E167" s="389"/>
      <c r="F167" s="389"/>
      <c r="G167" s="389"/>
      <c r="H167" s="389"/>
      <c r="I167" s="389"/>
    </row>
    <row r="168" spans="2:9" ht="30.95" customHeight="1">
      <c r="B168" s="389"/>
      <c r="C168" s="387"/>
      <c r="D168" s="391"/>
      <c r="E168" s="391"/>
      <c r="F168" s="391"/>
      <c r="G168" s="391"/>
      <c r="H168" s="391"/>
      <c r="I168" s="391"/>
    </row>
    <row r="169" spans="2:9" ht="30.95" customHeight="1">
      <c r="B169" s="389"/>
      <c r="C169" s="387"/>
      <c r="D169" s="391"/>
      <c r="E169" s="391"/>
      <c r="F169" s="391"/>
      <c r="G169" s="391"/>
      <c r="H169" s="391"/>
      <c r="I169" s="391"/>
    </row>
    <row r="170" spans="2:9" ht="30.95" customHeight="1">
      <c r="B170" s="389"/>
      <c r="C170" s="387"/>
      <c r="D170" s="388"/>
      <c r="E170" s="388"/>
      <c r="F170" s="388"/>
      <c r="G170" s="388"/>
      <c r="H170" s="389"/>
      <c r="I170" s="389"/>
    </row>
    <row r="171" spans="2:9" ht="30.95" customHeight="1">
      <c r="B171" s="389"/>
      <c r="C171" s="387"/>
      <c r="D171" s="388"/>
      <c r="E171" s="388"/>
      <c r="F171" s="388"/>
      <c r="G171" s="388"/>
      <c r="H171" s="389"/>
      <c r="I171" s="389"/>
    </row>
    <row r="172" spans="2:9" ht="30.95" customHeight="1">
      <c r="B172" s="389"/>
      <c r="C172" s="387"/>
      <c r="D172" s="388"/>
      <c r="E172" s="388"/>
      <c r="F172" s="388"/>
      <c r="G172" s="388"/>
      <c r="H172" s="389"/>
      <c r="I172" s="389"/>
    </row>
    <row r="173" spans="2:9" ht="30.95" customHeight="1">
      <c r="B173" s="389"/>
      <c r="C173" s="387"/>
      <c r="D173" s="388"/>
      <c r="E173" s="388"/>
      <c r="F173" s="388"/>
      <c r="G173" s="388"/>
      <c r="H173" s="389"/>
      <c r="I173" s="389"/>
    </row>
    <row r="174" spans="2:9" ht="30.95" customHeight="1">
      <c r="B174" s="389"/>
      <c r="C174" s="387"/>
      <c r="D174" s="388"/>
      <c r="E174" s="388"/>
      <c r="F174" s="388"/>
      <c r="G174" s="388"/>
      <c r="H174" s="389"/>
      <c r="I174" s="389"/>
    </row>
    <row r="175" spans="2:9" ht="30.95" customHeight="1">
      <c r="B175" s="389"/>
      <c r="C175" s="387"/>
      <c r="D175" s="389"/>
      <c r="E175" s="389"/>
      <c r="F175" s="389"/>
      <c r="G175" s="389"/>
      <c r="H175" s="389"/>
      <c r="I175" s="389"/>
    </row>
    <row r="176" spans="2:9" ht="30.95" customHeight="1">
      <c r="B176" s="389"/>
      <c r="C176" s="387"/>
      <c r="D176" s="389"/>
      <c r="E176" s="389"/>
      <c r="F176" s="389"/>
      <c r="G176" s="389"/>
      <c r="H176" s="389"/>
      <c r="I176" s="389"/>
    </row>
    <row r="177" spans="3:8" ht="30.95" customHeight="1">
      <c r="C177" s="264"/>
      <c r="D177" s="264"/>
      <c r="E177" s="264"/>
      <c r="F177" s="264"/>
      <c r="G177" s="264"/>
      <c r="H177" s="264"/>
    </row>
    <row r="178" spans="3:8" ht="14.25" customHeight="1">
      <c r="C178" s="264"/>
      <c r="D178" s="264"/>
      <c r="E178" s="264"/>
      <c r="F178" s="264"/>
      <c r="G178" s="264"/>
      <c r="H178" s="264"/>
    </row>
    <row r="179" spans="3:8">
      <c r="C179" s="264"/>
      <c r="D179" s="264"/>
      <c r="E179" s="264"/>
      <c r="F179" s="264"/>
      <c r="G179" s="264"/>
      <c r="H179" s="264"/>
    </row>
    <row r="180" spans="3:8">
      <c r="C180" s="264"/>
      <c r="D180" s="264"/>
      <c r="E180" s="264"/>
      <c r="F180" s="264"/>
      <c r="G180" s="264"/>
      <c r="H180" s="264"/>
    </row>
    <row r="181" spans="3:8">
      <c r="C181" s="264"/>
      <c r="D181" s="264"/>
      <c r="E181" s="264"/>
      <c r="F181" s="264"/>
      <c r="G181" s="264"/>
      <c r="H181" s="264"/>
    </row>
    <row r="182" spans="3:8">
      <c r="C182" s="264"/>
      <c r="D182" s="264"/>
      <c r="E182" s="264"/>
      <c r="F182" s="264"/>
      <c r="G182" s="264"/>
      <c r="H182" s="264"/>
    </row>
    <row r="183" spans="3:8" ht="14.25" customHeight="1">
      <c r="C183" s="264"/>
      <c r="D183" s="264"/>
      <c r="E183" s="264"/>
      <c r="F183" s="264"/>
      <c r="G183" s="264"/>
      <c r="H183" s="264"/>
    </row>
    <row r="184" spans="3:8">
      <c r="C184" s="264"/>
      <c r="D184" s="264"/>
      <c r="E184" s="264"/>
      <c r="F184" s="264"/>
      <c r="G184" s="264"/>
      <c r="H184" s="264"/>
    </row>
    <row r="185" spans="3:8" ht="14.25" customHeight="1">
      <c r="C185" s="264"/>
      <c r="D185" s="264"/>
      <c r="E185" s="264"/>
      <c r="F185" s="264"/>
      <c r="G185" s="264"/>
      <c r="H185" s="264"/>
    </row>
    <row r="186" spans="3:8">
      <c r="C186" s="264"/>
      <c r="D186" s="264"/>
      <c r="E186" s="264"/>
      <c r="F186" s="264"/>
      <c r="G186" s="264"/>
      <c r="H186" s="264"/>
    </row>
    <row r="187" spans="3:8">
      <c r="C187" s="264"/>
      <c r="D187" s="264"/>
      <c r="E187" s="264"/>
      <c r="F187" s="264"/>
      <c r="G187" s="264"/>
      <c r="H187" s="264"/>
    </row>
    <row r="188" spans="3:8">
      <c r="C188" s="264"/>
      <c r="D188" s="264"/>
      <c r="E188" s="264"/>
      <c r="F188" s="264"/>
      <c r="G188" s="264"/>
      <c r="H188" s="264"/>
    </row>
    <row r="189" spans="3:8">
      <c r="C189" s="264"/>
      <c r="D189" s="264"/>
      <c r="E189" s="264"/>
      <c r="F189" s="264"/>
      <c r="G189" s="264"/>
      <c r="H189" s="264"/>
    </row>
    <row r="190" spans="3:8">
      <c r="C190" s="264"/>
      <c r="D190" s="264"/>
      <c r="E190" s="264"/>
      <c r="F190" s="264"/>
      <c r="G190" s="264"/>
      <c r="H190" s="264"/>
    </row>
    <row r="191" spans="3:8">
      <c r="C191" s="264"/>
      <c r="D191" s="264"/>
      <c r="E191" s="264"/>
      <c r="F191" s="264"/>
      <c r="G191" s="264"/>
      <c r="H191" s="264"/>
    </row>
    <row r="192" spans="3:8">
      <c r="C192" s="264"/>
      <c r="D192" s="264"/>
      <c r="E192" s="264"/>
      <c r="F192" s="264"/>
      <c r="G192" s="264"/>
      <c r="H192" s="264"/>
    </row>
    <row r="193" spans="3:8" ht="14.25" customHeight="1">
      <c r="C193" s="264"/>
      <c r="D193" s="264"/>
      <c r="E193" s="264"/>
      <c r="F193" s="264"/>
      <c r="G193" s="264"/>
      <c r="H193" s="264"/>
    </row>
    <row r="194" spans="3:8">
      <c r="C194" s="264"/>
      <c r="D194" s="264"/>
      <c r="E194" s="264"/>
      <c r="F194" s="264"/>
      <c r="G194" s="264"/>
      <c r="H194" s="264"/>
    </row>
    <row r="195" spans="3:8">
      <c r="C195" s="264"/>
      <c r="D195" s="264"/>
      <c r="E195" s="264"/>
      <c r="F195" s="264"/>
      <c r="G195" s="264"/>
      <c r="H195" s="264"/>
    </row>
    <row r="196" spans="3:8">
      <c r="C196" s="264"/>
      <c r="D196" s="264"/>
      <c r="E196" s="264"/>
      <c r="F196" s="264"/>
      <c r="G196" s="264"/>
      <c r="H196" s="264"/>
    </row>
    <row r="197" spans="3:8">
      <c r="C197" s="264"/>
      <c r="D197" s="264"/>
      <c r="E197" s="264"/>
      <c r="F197" s="264"/>
      <c r="G197" s="264"/>
      <c r="H197" s="264"/>
    </row>
    <row r="198" spans="3:8">
      <c r="C198" s="264"/>
      <c r="D198" s="264"/>
      <c r="E198" s="264"/>
      <c r="F198" s="264"/>
      <c r="G198" s="264"/>
      <c r="H198" s="264"/>
    </row>
    <row r="199" spans="3:8">
      <c r="C199" s="264"/>
      <c r="D199" s="264"/>
      <c r="E199" s="264"/>
      <c r="F199" s="264"/>
      <c r="G199" s="264"/>
      <c r="H199" s="264"/>
    </row>
    <row r="200" spans="3:8">
      <c r="C200" s="264"/>
      <c r="D200" s="264"/>
      <c r="E200" s="264"/>
      <c r="F200" s="264"/>
      <c r="G200" s="264"/>
      <c r="H200" s="264"/>
    </row>
    <row r="201" spans="3:8">
      <c r="C201" s="264"/>
      <c r="D201" s="264"/>
      <c r="E201" s="264"/>
      <c r="F201" s="264"/>
      <c r="G201" s="264"/>
      <c r="H201" s="264"/>
    </row>
    <row r="202" spans="3:8">
      <c r="C202" s="264"/>
      <c r="D202" s="264"/>
      <c r="E202" s="264"/>
      <c r="F202" s="264"/>
      <c r="G202" s="264"/>
      <c r="H202" s="264"/>
    </row>
    <row r="203" spans="3:8">
      <c r="C203" s="264"/>
      <c r="D203" s="264"/>
      <c r="E203" s="264"/>
      <c r="F203" s="264"/>
      <c r="G203" s="264"/>
      <c r="H203" s="264"/>
    </row>
    <row r="204" spans="3:8">
      <c r="C204" s="264"/>
      <c r="D204" s="264"/>
      <c r="E204" s="264"/>
      <c r="F204" s="264"/>
      <c r="G204" s="264"/>
      <c r="H204" s="264"/>
    </row>
    <row r="205" spans="3:8">
      <c r="C205" s="264"/>
      <c r="D205" s="264"/>
      <c r="E205" s="264"/>
      <c r="F205" s="264"/>
      <c r="G205" s="264"/>
      <c r="H205" s="264"/>
    </row>
    <row r="206" spans="3:8">
      <c r="C206" s="264"/>
      <c r="D206" s="264"/>
      <c r="E206" s="264"/>
      <c r="F206" s="264"/>
      <c r="G206" s="264"/>
      <c r="H206" s="264"/>
    </row>
    <row r="207" spans="3:8">
      <c r="C207" s="264"/>
      <c r="D207" s="264"/>
      <c r="E207" s="264"/>
      <c r="F207" s="264"/>
      <c r="G207" s="264"/>
      <c r="H207" s="264"/>
    </row>
    <row r="208" spans="3:8">
      <c r="C208" s="264"/>
      <c r="D208" s="264"/>
      <c r="E208" s="264"/>
      <c r="F208" s="264"/>
      <c r="G208" s="264"/>
      <c r="H208" s="264"/>
    </row>
    <row r="209" spans="3:8">
      <c r="C209" s="264"/>
      <c r="D209" s="264"/>
      <c r="E209" s="264"/>
      <c r="F209" s="264"/>
      <c r="G209" s="264"/>
      <c r="H209" s="264"/>
    </row>
    <row r="210" spans="3:8">
      <c r="C210" s="264"/>
      <c r="D210" s="264"/>
      <c r="E210" s="264"/>
      <c r="F210" s="264"/>
      <c r="G210" s="264"/>
      <c r="H210" s="264"/>
    </row>
    <row r="211" spans="3:8">
      <c r="C211" s="264"/>
      <c r="D211" s="264"/>
      <c r="E211" s="264"/>
      <c r="F211" s="264"/>
      <c r="G211" s="264"/>
      <c r="H211" s="264"/>
    </row>
    <row r="212" spans="3:8">
      <c r="C212" s="264"/>
      <c r="D212" s="264"/>
      <c r="E212" s="264"/>
      <c r="F212" s="264"/>
      <c r="G212" s="264"/>
      <c r="H212" s="264"/>
    </row>
    <row r="213" spans="3:8">
      <c r="C213" s="264"/>
      <c r="D213" s="264"/>
      <c r="E213" s="264"/>
      <c r="F213" s="264"/>
      <c r="G213" s="264"/>
      <c r="H213" s="264"/>
    </row>
    <row r="214" spans="3:8">
      <c r="C214" s="264"/>
      <c r="D214" s="264"/>
      <c r="E214" s="264"/>
      <c r="F214" s="264"/>
      <c r="G214" s="264"/>
      <c r="H214" s="264"/>
    </row>
    <row r="215" spans="3:8">
      <c r="C215" s="264"/>
      <c r="D215" s="264"/>
      <c r="E215" s="264"/>
      <c r="F215" s="264"/>
      <c r="G215" s="264"/>
      <c r="H215" s="264"/>
    </row>
    <row r="216" spans="3:8">
      <c r="C216" s="264"/>
      <c r="D216" s="264"/>
      <c r="E216" s="264"/>
      <c r="F216" s="264"/>
      <c r="G216" s="264"/>
      <c r="H216" s="264"/>
    </row>
    <row r="217" spans="3:8">
      <c r="C217" s="264"/>
      <c r="D217" s="264"/>
      <c r="E217" s="264"/>
      <c r="F217" s="264"/>
      <c r="G217" s="264"/>
      <c r="H217" s="264"/>
    </row>
    <row r="218" spans="3:8">
      <c r="C218" s="264"/>
      <c r="D218" s="264"/>
      <c r="E218" s="264"/>
      <c r="F218" s="264"/>
      <c r="G218" s="264"/>
      <c r="H218" s="264"/>
    </row>
    <row r="219" spans="3:8">
      <c r="C219" s="264"/>
      <c r="D219" s="264"/>
      <c r="E219" s="264"/>
      <c r="F219" s="264"/>
      <c r="G219" s="264"/>
      <c r="H219" s="264"/>
    </row>
    <row r="220" spans="3:8">
      <c r="C220" s="264"/>
      <c r="D220" s="264"/>
      <c r="E220" s="264"/>
      <c r="F220" s="264"/>
      <c r="G220" s="264"/>
      <c r="H220" s="264"/>
    </row>
    <row r="221" spans="3:8">
      <c r="C221" s="264"/>
      <c r="D221" s="264"/>
      <c r="E221" s="264"/>
      <c r="F221" s="264"/>
      <c r="G221" s="264"/>
      <c r="H221" s="264"/>
    </row>
    <row r="222" spans="3:8">
      <c r="C222" s="264"/>
      <c r="D222" s="264"/>
      <c r="E222" s="264"/>
      <c r="F222" s="264"/>
      <c r="G222" s="264"/>
      <c r="H222" s="264"/>
    </row>
    <row r="223" spans="3:8">
      <c r="C223" s="264"/>
      <c r="D223" s="264"/>
      <c r="E223" s="264"/>
      <c r="F223" s="264"/>
      <c r="G223" s="264"/>
      <c r="H223" s="264"/>
    </row>
    <row r="224" spans="3:8">
      <c r="C224" s="264"/>
      <c r="D224" s="264"/>
      <c r="E224" s="264"/>
      <c r="F224" s="264"/>
      <c r="G224" s="264"/>
      <c r="H224" s="264"/>
    </row>
    <row r="225" spans="3:8">
      <c r="C225" s="264"/>
      <c r="D225" s="264"/>
      <c r="E225" s="264"/>
      <c r="F225" s="264"/>
      <c r="G225" s="264"/>
      <c r="H225" s="264"/>
    </row>
    <row r="226" spans="3:8">
      <c r="C226" s="264"/>
      <c r="D226" s="264"/>
      <c r="E226" s="264"/>
      <c r="F226" s="264"/>
      <c r="G226" s="264"/>
      <c r="H226" s="264"/>
    </row>
    <row r="227" spans="3:8">
      <c r="C227" s="264"/>
      <c r="D227" s="264"/>
      <c r="E227" s="264"/>
      <c r="F227" s="264"/>
      <c r="G227" s="264"/>
      <c r="H227" s="264"/>
    </row>
    <row r="228" spans="3:8">
      <c r="C228" s="264"/>
      <c r="D228" s="264"/>
      <c r="E228" s="264"/>
      <c r="F228" s="264"/>
      <c r="G228" s="264"/>
      <c r="H228" s="264"/>
    </row>
    <row r="229" spans="3:8">
      <c r="C229" s="264"/>
      <c r="D229" s="264"/>
      <c r="E229" s="264"/>
      <c r="F229" s="264"/>
      <c r="G229" s="264"/>
      <c r="H229" s="264"/>
    </row>
    <row r="230" spans="3:8">
      <c r="C230" s="264"/>
      <c r="D230" s="264"/>
      <c r="E230" s="264"/>
      <c r="F230" s="264"/>
      <c r="G230" s="264"/>
      <c r="H230" s="264"/>
    </row>
    <row r="231" spans="3:8">
      <c r="C231" s="264"/>
      <c r="D231" s="264"/>
      <c r="E231" s="264"/>
      <c r="F231" s="264"/>
      <c r="G231" s="264"/>
      <c r="H231" s="264"/>
    </row>
    <row r="232" spans="3:8">
      <c r="C232" s="264"/>
      <c r="D232" s="264"/>
      <c r="E232" s="264"/>
      <c r="F232" s="264"/>
      <c r="G232" s="264"/>
      <c r="H232" s="264"/>
    </row>
    <row r="233" spans="3:8">
      <c r="C233" s="264"/>
      <c r="D233" s="264"/>
      <c r="E233" s="264"/>
      <c r="F233" s="264"/>
      <c r="G233" s="264"/>
      <c r="H233" s="264"/>
    </row>
    <row r="234" spans="3:8">
      <c r="C234" s="264"/>
      <c r="D234" s="264"/>
      <c r="E234" s="264"/>
      <c r="F234" s="264"/>
      <c r="G234" s="264"/>
      <c r="H234" s="264"/>
    </row>
    <row r="235" spans="3:8">
      <c r="C235" s="264"/>
      <c r="D235" s="264"/>
      <c r="E235" s="264"/>
      <c r="F235" s="264"/>
      <c r="G235" s="264"/>
      <c r="H235" s="264"/>
    </row>
    <row r="236" spans="3:8">
      <c r="C236" s="264"/>
      <c r="D236" s="264"/>
      <c r="E236" s="264"/>
      <c r="F236" s="264"/>
      <c r="G236" s="264"/>
      <c r="H236" s="264"/>
    </row>
    <row r="237" spans="3:8">
      <c r="C237" s="264"/>
      <c r="D237" s="264"/>
      <c r="E237" s="264"/>
      <c r="F237" s="264"/>
      <c r="G237" s="264"/>
      <c r="H237" s="264"/>
    </row>
    <row r="238" spans="3:8">
      <c r="C238" s="264"/>
      <c r="D238" s="264"/>
      <c r="E238" s="264"/>
      <c r="F238" s="264"/>
      <c r="G238" s="264"/>
      <c r="H238" s="264"/>
    </row>
    <row r="239" spans="3:8">
      <c r="C239" s="264"/>
      <c r="D239" s="264"/>
      <c r="E239" s="264"/>
      <c r="F239" s="264"/>
      <c r="G239" s="264"/>
      <c r="H239" s="264"/>
    </row>
    <row r="240" spans="3:8">
      <c r="C240" s="264"/>
      <c r="D240" s="264"/>
      <c r="E240" s="264"/>
      <c r="F240" s="264"/>
      <c r="G240" s="264"/>
      <c r="H240" s="264"/>
    </row>
    <row r="241" spans="3:8">
      <c r="C241" s="264"/>
      <c r="D241" s="264"/>
      <c r="E241" s="264"/>
      <c r="F241" s="264"/>
      <c r="G241" s="264"/>
      <c r="H241" s="264"/>
    </row>
    <row r="242" spans="3:8">
      <c r="C242" s="264"/>
      <c r="D242" s="264"/>
      <c r="E242" s="264"/>
      <c r="F242" s="264"/>
      <c r="G242" s="264"/>
      <c r="H242" s="264"/>
    </row>
    <row r="243" spans="3:8">
      <c r="C243" s="264"/>
      <c r="D243" s="264"/>
      <c r="E243" s="264"/>
      <c r="F243" s="264"/>
      <c r="G243" s="264"/>
      <c r="H243" s="264"/>
    </row>
    <row r="244" spans="3:8">
      <c r="C244" s="264"/>
      <c r="D244" s="264"/>
      <c r="E244" s="264"/>
      <c r="F244" s="264"/>
      <c r="G244" s="264"/>
      <c r="H244" s="264"/>
    </row>
    <row r="245" spans="3:8">
      <c r="C245" s="264"/>
      <c r="D245" s="264"/>
      <c r="E245" s="264"/>
      <c r="F245" s="264"/>
      <c r="G245" s="264"/>
      <c r="H245" s="264"/>
    </row>
    <row r="246" spans="3:8">
      <c r="C246" s="264"/>
      <c r="D246" s="264"/>
      <c r="E246" s="264"/>
      <c r="F246" s="264"/>
      <c r="G246" s="264"/>
      <c r="H246" s="264"/>
    </row>
    <row r="247" spans="3:8">
      <c r="C247" s="264"/>
      <c r="D247" s="264"/>
      <c r="E247" s="264"/>
      <c r="F247" s="264"/>
      <c r="G247" s="264"/>
      <c r="H247" s="264"/>
    </row>
    <row r="248" spans="3:8">
      <c r="C248" s="264"/>
      <c r="D248" s="264"/>
      <c r="E248" s="264"/>
      <c r="F248" s="264"/>
      <c r="G248" s="264"/>
      <c r="H248" s="264"/>
    </row>
    <row r="249" spans="3:8">
      <c r="C249" s="264"/>
      <c r="D249" s="264"/>
      <c r="E249" s="264"/>
      <c r="F249" s="264"/>
      <c r="G249" s="264"/>
      <c r="H249" s="264"/>
    </row>
    <row r="250" spans="3:8">
      <c r="C250" s="264"/>
      <c r="D250" s="264"/>
      <c r="E250" s="264"/>
      <c r="F250" s="264"/>
      <c r="G250" s="264"/>
      <c r="H250" s="264"/>
    </row>
    <row r="251" spans="3:8">
      <c r="C251" s="264"/>
      <c r="D251" s="264"/>
      <c r="E251" s="264"/>
      <c r="F251" s="264"/>
      <c r="G251" s="264"/>
      <c r="H251" s="264"/>
    </row>
    <row r="252" spans="3:8">
      <c r="C252" s="264"/>
      <c r="D252" s="264"/>
      <c r="E252" s="264"/>
      <c r="F252" s="264"/>
      <c r="G252" s="264"/>
      <c r="H252" s="264"/>
    </row>
    <row r="253" spans="3:8">
      <c r="C253" s="264"/>
      <c r="D253" s="264"/>
      <c r="E253" s="264"/>
      <c r="F253" s="264"/>
      <c r="G253" s="264"/>
      <c r="H253" s="264"/>
    </row>
    <row r="254" spans="3:8">
      <c r="C254" s="264"/>
      <c r="D254" s="264"/>
      <c r="E254" s="264"/>
      <c r="F254" s="264"/>
      <c r="G254" s="264"/>
      <c r="H254" s="264"/>
    </row>
    <row r="255" spans="3:8">
      <c r="C255" s="264"/>
      <c r="D255" s="264"/>
      <c r="E255" s="264"/>
      <c r="F255" s="264"/>
      <c r="G255" s="264"/>
      <c r="H255" s="264"/>
    </row>
    <row r="256" spans="3:8">
      <c r="C256" s="264"/>
      <c r="D256" s="264"/>
      <c r="E256" s="264"/>
      <c r="F256" s="264"/>
      <c r="G256" s="264"/>
      <c r="H256" s="264"/>
    </row>
    <row r="257" spans="3:8">
      <c r="C257" s="264"/>
      <c r="D257" s="264"/>
      <c r="E257" s="264"/>
      <c r="F257" s="264"/>
      <c r="G257" s="264"/>
      <c r="H257" s="264"/>
    </row>
    <row r="258" spans="3:8">
      <c r="C258" s="264"/>
      <c r="D258" s="264"/>
      <c r="E258" s="264"/>
      <c r="F258" s="264"/>
      <c r="G258" s="264"/>
      <c r="H258" s="264"/>
    </row>
    <row r="259" spans="3:8">
      <c r="C259" s="264"/>
      <c r="D259" s="264"/>
      <c r="E259" s="264"/>
      <c r="F259" s="264"/>
      <c r="G259" s="264"/>
      <c r="H259" s="264"/>
    </row>
    <row r="260" spans="3:8">
      <c r="C260" s="264"/>
      <c r="D260" s="264"/>
      <c r="E260" s="264"/>
      <c r="F260" s="264"/>
      <c r="G260" s="264"/>
      <c r="H260" s="264"/>
    </row>
    <row r="261" spans="3:8">
      <c r="C261" s="264"/>
      <c r="D261" s="264"/>
      <c r="E261" s="264"/>
      <c r="F261" s="264"/>
      <c r="G261" s="264"/>
      <c r="H261" s="264"/>
    </row>
    <row r="262" spans="3:8">
      <c r="C262" s="264"/>
      <c r="D262" s="264"/>
      <c r="E262" s="264"/>
      <c r="F262" s="264"/>
      <c r="G262" s="264"/>
      <c r="H262" s="264"/>
    </row>
    <row r="263" spans="3:8">
      <c r="C263" s="264"/>
      <c r="D263" s="264"/>
      <c r="E263" s="264"/>
      <c r="F263" s="264"/>
      <c r="G263" s="264"/>
      <c r="H263" s="264"/>
    </row>
    <row r="264" spans="3:8">
      <c r="C264" s="264"/>
      <c r="D264" s="264"/>
      <c r="E264" s="264"/>
      <c r="F264" s="264"/>
      <c r="G264" s="264"/>
      <c r="H264" s="264"/>
    </row>
    <row r="265" spans="3:8">
      <c r="C265" s="264"/>
      <c r="D265" s="264"/>
      <c r="E265" s="264"/>
      <c r="F265" s="264"/>
      <c r="G265" s="264"/>
      <c r="H265" s="264"/>
    </row>
    <row r="266" spans="3:8">
      <c r="C266" s="264"/>
      <c r="D266" s="264"/>
      <c r="E266" s="264"/>
      <c r="F266" s="264"/>
      <c r="G266" s="264"/>
      <c r="H266" s="264"/>
    </row>
    <row r="267" spans="3:8">
      <c r="C267" s="264"/>
      <c r="D267" s="264"/>
      <c r="E267" s="264"/>
      <c r="F267" s="264"/>
      <c r="G267" s="264"/>
      <c r="H267" s="264"/>
    </row>
    <row r="268" spans="3:8">
      <c r="C268" s="264"/>
      <c r="D268" s="264"/>
      <c r="E268" s="264"/>
      <c r="F268" s="264"/>
      <c r="G268" s="264"/>
      <c r="H268" s="264"/>
    </row>
    <row r="269" spans="3:8">
      <c r="C269" s="264"/>
      <c r="D269" s="264"/>
      <c r="E269" s="264"/>
      <c r="F269" s="264"/>
      <c r="G269" s="264"/>
      <c r="H269" s="264"/>
    </row>
    <row r="270" spans="3:8">
      <c r="C270" s="264"/>
      <c r="D270" s="264"/>
      <c r="E270" s="264"/>
      <c r="F270" s="264"/>
      <c r="G270" s="264"/>
      <c r="H270" s="264"/>
    </row>
    <row r="271" spans="3:8">
      <c r="C271" s="264"/>
      <c r="D271" s="264"/>
      <c r="E271" s="264"/>
      <c r="F271" s="264"/>
      <c r="G271" s="264"/>
      <c r="H271" s="264"/>
    </row>
    <row r="272" spans="3:8">
      <c r="C272" s="264"/>
      <c r="D272" s="264"/>
      <c r="E272" s="264"/>
      <c r="F272" s="264"/>
      <c r="G272" s="264"/>
      <c r="H272" s="264"/>
    </row>
    <row r="273" spans="3:8">
      <c r="C273" s="264"/>
      <c r="D273" s="264"/>
      <c r="E273" s="264"/>
      <c r="F273" s="264"/>
      <c r="G273" s="264"/>
      <c r="H273" s="264"/>
    </row>
    <row r="274" spans="3:8">
      <c r="C274" s="264"/>
      <c r="D274" s="264"/>
      <c r="E274" s="264"/>
      <c r="F274" s="264"/>
      <c r="G274" s="264"/>
      <c r="H274" s="264"/>
    </row>
    <row r="275" spans="3:8">
      <c r="C275" s="264"/>
      <c r="D275" s="264"/>
      <c r="E275" s="264"/>
      <c r="F275" s="264"/>
      <c r="G275" s="264"/>
      <c r="H275" s="264"/>
    </row>
    <row r="276" spans="3:8">
      <c r="C276" s="264"/>
      <c r="D276" s="264"/>
      <c r="E276" s="264"/>
      <c r="F276" s="264"/>
      <c r="G276" s="264"/>
      <c r="H276" s="264"/>
    </row>
    <row r="277" spans="3:8">
      <c r="C277" s="264"/>
      <c r="D277" s="264"/>
      <c r="E277" s="264"/>
      <c r="F277" s="264"/>
      <c r="G277" s="264"/>
      <c r="H277" s="264"/>
    </row>
    <row r="278" spans="3:8">
      <c r="C278" s="264"/>
      <c r="D278" s="264"/>
      <c r="E278" s="264"/>
      <c r="F278" s="264"/>
      <c r="G278" s="264"/>
      <c r="H278" s="264"/>
    </row>
    <row r="279" spans="3:8">
      <c r="C279" s="264"/>
      <c r="D279" s="264"/>
      <c r="E279" s="264"/>
      <c r="F279" s="264"/>
      <c r="G279" s="264"/>
      <c r="H279" s="264"/>
    </row>
    <row r="280" spans="3:8">
      <c r="C280" s="264"/>
      <c r="D280" s="264"/>
      <c r="E280" s="264"/>
      <c r="F280" s="264"/>
      <c r="G280" s="264"/>
      <c r="H280" s="264"/>
    </row>
    <row r="281" spans="3:8">
      <c r="C281" s="264"/>
      <c r="D281" s="264"/>
      <c r="E281" s="264"/>
      <c r="F281" s="264"/>
      <c r="G281" s="264"/>
      <c r="H281" s="264"/>
    </row>
    <row r="282" spans="3:8">
      <c r="C282" s="264"/>
      <c r="D282" s="264"/>
      <c r="E282" s="264"/>
      <c r="F282" s="264"/>
      <c r="G282" s="264"/>
      <c r="H282" s="264"/>
    </row>
    <row r="283" spans="3:8">
      <c r="C283" s="264"/>
      <c r="D283" s="264"/>
      <c r="E283" s="264"/>
      <c r="F283" s="264"/>
      <c r="G283" s="264"/>
      <c r="H283" s="264"/>
    </row>
    <row r="284" spans="3:8">
      <c r="C284" s="264"/>
      <c r="D284" s="264"/>
      <c r="E284" s="264"/>
      <c r="F284" s="264"/>
      <c r="G284" s="264"/>
      <c r="H284" s="264"/>
    </row>
    <row r="285" spans="3:8">
      <c r="C285" s="264"/>
      <c r="D285" s="264"/>
      <c r="E285" s="264"/>
      <c r="F285" s="264"/>
      <c r="G285" s="264"/>
      <c r="H285" s="264"/>
    </row>
    <row r="286" spans="3:8">
      <c r="C286" s="264"/>
      <c r="D286" s="264"/>
      <c r="E286" s="264"/>
      <c r="F286" s="264"/>
      <c r="G286" s="264"/>
      <c r="H286" s="264"/>
    </row>
    <row r="287" spans="3:8">
      <c r="C287" s="264"/>
      <c r="D287" s="264"/>
      <c r="E287" s="264"/>
      <c r="F287" s="264"/>
      <c r="G287" s="264"/>
      <c r="H287" s="264"/>
    </row>
    <row r="288" spans="3:8">
      <c r="C288" s="264"/>
      <c r="D288" s="264"/>
      <c r="E288" s="264"/>
      <c r="F288" s="264"/>
      <c r="G288" s="264"/>
      <c r="H288" s="264"/>
    </row>
    <row r="289" spans="3:8">
      <c r="C289" s="264"/>
      <c r="D289" s="264"/>
      <c r="E289" s="264"/>
      <c r="F289" s="264"/>
      <c r="G289" s="264"/>
      <c r="H289" s="264"/>
    </row>
    <row r="290" spans="3:8">
      <c r="C290" s="264"/>
      <c r="D290" s="264"/>
      <c r="E290" s="264"/>
      <c r="F290" s="264"/>
      <c r="G290" s="264"/>
      <c r="H290" s="264"/>
    </row>
    <row r="291" spans="3:8">
      <c r="C291" s="264"/>
      <c r="D291" s="264"/>
      <c r="E291" s="264"/>
      <c r="F291" s="264"/>
      <c r="G291" s="264"/>
      <c r="H291" s="264"/>
    </row>
    <row r="292" spans="3:8">
      <c r="C292" s="264"/>
      <c r="D292" s="264"/>
      <c r="E292" s="264"/>
      <c r="F292" s="264"/>
      <c r="G292" s="264"/>
      <c r="H292" s="264"/>
    </row>
    <row r="293" spans="3:8">
      <c r="C293" s="264"/>
      <c r="D293" s="264"/>
      <c r="E293" s="264"/>
      <c r="F293" s="264"/>
      <c r="G293" s="264"/>
      <c r="H293" s="264"/>
    </row>
    <row r="294" spans="3:8">
      <c r="C294" s="264"/>
      <c r="D294" s="264"/>
      <c r="E294" s="264"/>
      <c r="F294" s="264"/>
      <c r="G294" s="264"/>
      <c r="H294" s="264"/>
    </row>
    <row r="295" spans="3:8">
      <c r="C295" s="264"/>
      <c r="D295" s="264"/>
      <c r="E295" s="264"/>
      <c r="F295" s="264"/>
      <c r="G295" s="264"/>
      <c r="H295" s="264"/>
    </row>
    <row r="296" spans="3:8">
      <c r="C296" s="264"/>
      <c r="D296" s="264"/>
      <c r="E296" s="264"/>
      <c r="F296" s="264"/>
      <c r="G296" s="264"/>
      <c r="H296" s="264"/>
    </row>
    <row r="297" spans="3:8">
      <c r="C297" s="264"/>
      <c r="D297" s="264"/>
      <c r="E297" s="264"/>
      <c r="F297" s="264"/>
      <c r="G297" s="264"/>
      <c r="H297" s="264"/>
    </row>
    <row r="298" spans="3:8">
      <c r="C298" s="264"/>
      <c r="D298" s="264"/>
      <c r="E298" s="264"/>
      <c r="F298" s="264"/>
      <c r="G298" s="264"/>
      <c r="H298" s="264"/>
    </row>
    <row r="299" spans="3:8">
      <c r="C299" s="264"/>
      <c r="D299" s="264"/>
      <c r="E299" s="264"/>
      <c r="F299" s="264"/>
      <c r="G299" s="264"/>
      <c r="H299" s="264"/>
    </row>
    <row r="300" spans="3:8">
      <c r="C300" s="264"/>
      <c r="D300" s="264"/>
      <c r="E300" s="264"/>
      <c r="F300" s="264"/>
      <c r="G300" s="264"/>
      <c r="H300" s="264"/>
    </row>
    <row r="301" spans="3:8">
      <c r="C301" s="264"/>
      <c r="D301" s="264"/>
      <c r="E301" s="264"/>
      <c r="F301" s="264"/>
      <c r="G301" s="264"/>
      <c r="H301" s="264"/>
    </row>
    <row r="302" spans="3:8">
      <c r="C302" s="264"/>
      <c r="D302" s="264"/>
      <c r="E302" s="264"/>
      <c r="F302" s="264"/>
      <c r="G302" s="264"/>
      <c r="H302" s="264"/>
    </row>
    <row r="303" spans="3:8">
      <c r="C303" s="264"/>
      <c r="D303" s="264"/>
      <c r="E303" s="264"/>
      <c r="F303" s="264"/>
      <c r="G303" s="264"/>
      <c r="H303" s="264"/>
    </row>
    <row r="304" spans="3:8">
      <c r="C304" s="264"/>
      <c r="D304" s="264"/>
      <c r="E304" s="264"/>
      <c r="F304" s="264"/>
      <c r="G304" s="264"/>
      <c r="H304" s="264"/>
    </row>
    <row r="305" spans="3:8">
      <c r="C305" s="264"/>
      <c r="D305" s="264"/>
      <c r="E305" s="264"/>
      <c r="F305" s="264"/>
      <c r="G305" s="264"/>
      <c r="H305" s="264"/>
    </row>
    <row r="306" spans="3:8">
      <c r="C306" s="264"/>
      <c r="D306" s="264"/>
      <c r="E306" s="264"/>
      <c r="F306" s="264"/>
      <c r="G306" s="264"/>
      <c r="H306" s="264"/>
    </row>
    <row r="307" spans="3:8">
      <c r="C307" s="264"/>
      <c r="D307" s="264"/>
      <c r="E307" s="264"/>
      <c r="F307" s="264"/>
      <c r="G307" s="264"/>
      <c r="H307" s="264"/>
    </row>
    <row r="308" spans="3:8">
      <c r="C308" s="264"/>
      <c r="D308" s="264"/>
      <c r="E308" s="264"/>
      <c r="F308" s="264"/>
      <c r="G308" s="264"/>
      <c r="H308" s="264"/>
    </row>
    <row r="309" spans="3:8">
      <c r="C309" s="264"/>
      <c r="D309" s="264"/>
      <c r="E309" s="264"/>
      <c r="F309" s="264"/>
      <c r="G309" s="264"/>
      <c r="H309" s="264"/>
    </row>
    <row r="310" spans="3:8">
      <c r="C310" s="264"/>
      <c r="D310" s="264"/>
      <c r="E310" s="264"/>
      <c r="F310" s="264"/>
      <c r="G310" s="264"/>
      <c r="H310" s="264"/>
    </row>
    <row r="311" spans="3:8">
      <c r="C311" s="264"/>
      <c r="D311" s="264"/>
      <c r="E311" s="264"/>
      <c r="F311" s="264"/>
      <c r="G311" s="264"/>
      <c r="H311" s="264"/>
    </row>
    <row r="312" spans="3:8">
      <c r="C312" s="264"/>
      <c r="D312" s="264"/>
      <c r="E312" s="264"/>
      <c r="F312" s="264"/>
      <c r="G312" s="264"/>
      <c r="H312" s="264"/>
    </row>
    <row r="313" spans="3:8">
      <c r="C313" s="264"/>
      <c r="D313" s="264"/>
      <c r="E313" s="264"/>
      <c r="F313" s="264"/>
      <c r="G313" s="264"/>
      <c r="H313" s="264"/>
    </row>
    <row r="314" spans="3:8">
      <c r="C314" s="264"/>
      <c r="D314" s="264"/>
      <c r="E314" s="264"/>
      <c r="F314" s="264"/>
      <c r="G314" s="264"/>
      <c r="H314" s="264"/>
    </row>
    <row r="315" spans="3:8">
      <c r="C315" s="264"/>
      <c r="D315" s="264"/>
      <c r="E315" s="264"/>
      <c r="F315" s="264"/>
      <c r="G315" s="264"/>
      <c r="H315" s="264"/>
    </row>
    <row r="316" spans="3:8">
      <c r="C316" s="264"/>
      <c r="D316" s="264"/>
      <c r="E316" s="264"/>
      <c r="F316" s="264"/>
      <c r="G316" s="264"/>
      <c r="H316" s="264"/>
    </row>
    <row r="317" spans="3:8">
      <c r="C317" s="264"/>
      <c r="D317" s="264"/>
      <c r="E317" s="264"/>
      <c r="F317" s="264"/>
      <c r="G317" s="264"/>
      <c r="H317" s="264"/>
    </row>
    <row r="318" spans="3:8">
      <c r="C318" s="264"/>
      <c r="D318" s="264"/>
      <c r="E318" s="264"/>
      <c r="F318" s="264"/>
      <c r="G318" s="264"/>
      <c r="H318" s="264"/>
    </row>
    <row r="319" spans="3:8">
      <c r="C319" s="264"/>
      <c r="D319" s="264"/>
      <c r="E319" s="264"/>
      <c r="F319" s="264"/>
      <c r="G319" s="264"/>
      <c r="H319" s="264"/>
    </row>
    <row r="320" spans="3:8">
      <c r="C320" s="264"/>
      <c r="D320" s="264"/>
      <c r="E320" s="264"/>
      <c r="F320" s="264"/>
      <c r="G320" s="264"/>
      <c r="H320" s="264"/>
    </row>
    <row r="321" spans="3:8">
      <c r="C321" s="264"/>
      <c r="D321" s="264"/>
      <c r="E321" s="264"/>
      <c r="F321" s="264"/>
      <c r="G321" s="264"/>
      <c r="H321" s="264"/>
    </row>
    <row r="322" spans="3:8">
      <c r="C322" s="264"/>
      <c r="D322" s="264"/>
      <c r="E322" s="264"/>
      <c r="F322" s="264"/>
      <c r="G322" s="264"/>
      <c r="H322" s="264"/>
    </row>
    <row r="323" spans="3:8">
      <c r="C323" s="264"/>
      <c r="D323" s="264"/>
      <c r="E323" s="264"/>
      <c r="F323" s="264"/>
      <c r="G323" s="264"/>
      <c r="H323" s="264"/>
    </row>
    <row r="324" spans="3:8">
      <c r="C324" s="264"/>
      <c r="D324" s="264"/>
      <c r="E324" s="264"/>
      <c r="F324" s="264"/>
      <c r="G324" s="264"/>
      <c r="H324" s="264"/>
    </row>
    <row r="325" spans="3:8">
      <c r="C325" s="264"/>
      <c r="D325" s="264"/>
      <c r="E325" s="264"/>
      <c r="F325" s="264"/>
      <c r="G325" s="264"/>
      <c r="H325" s="264"/>
    </row>
    <row r="326" spans="3:8">
      <c r="C326" s="264"/>
      <c r="D326" s="264"/>
      <c r="E326" s="264"/>
      <c r="F326" s="264"/>
      <c r="G326" s="264"/>
      <c r="H326" s="264"/>
    </row>
    <row r="327" spans="3:8">
      <c r="C327" s="264"/>
      <c r="D327" s="264"/>
      <c r="E327" s="264"/>
      <c r="F327" s="264"/>
      <c r="G327" s="264"/>
      <c r="H327" s="264"/>
    </row>
    <row r="328" spans="3:8">
      <c r="C328" s="264"/>
      <c r="D328" s="264"/>
      <c r="E328" s="264"/>
      <c r="F328" s="264"/>
      <c r="G328" s="264"/>
      <c r="H328" s="264"/>
    </row>
    <row r="329" spans="3:8">
      <c r="C329" s="264"/>
      <c r="D329" s="264"/>
      <c r="E329" s="264"/>
      <c r="F329" s="264"/>
      <c r="G329" s="264"/>
      <c r="H329" s="264"/>
    </row>
    <row r="330" spans="3:8">
      <c r="C330" s="264"/>
      <c r="D330" s="264"/>
      <c r="E330" s="264"/>
      <c r="F330" s="264"/>
      <c r="G330" s="264"/>
      <c r="H330" s="264"/>
    </row>
    <row r="331" spans="3:8">
      <c r="C331" s="264"/>
      <c r="D331" s="264"/>
      <c r="E331" s="264"/>
      <c r="F331" s="264"/>
      <c r="G331" s="264"/>
      <c r="H331" s="264"/>
    </row>
    <row r="332" spans="3:8">
      <c r="C332" s="264"/>
      <c r="D332" s="264"/>
      <c r="E332" s="264"/>
      <c r="F332" s="264"/>
      <c r="G332" s="264"/>
      <c r="H332" s="264"/>
    </row>
    <row r="333" spans="3:8">
      <c r="C333" s="264"/>
      <c r="D333" s="264"/>
      <c r="E333" s="264"/>
      <c r="F333" s="264"/>
      <c r="G333" s="264"/>
      <c r="H333" s="264"/>
    </row>
    <row r="334" spans="3:8">
      <c r="C334" s="264"/>
      <c r="D334" s="264"/>
      <c r="E334" s="264"/>
      <c r="F334" s="264"/>
      <c r="G334" s="264"/>
      <c r="H334" s="264"/>
    </row>
    <row r="335" spans="3:8">
      <c r="C335" s="264"/>
      <c r="D335" s="264"/>
      <c r="E335" s="264"/>
      <c r="F335" s="264"/>
      <c r="G335" s="264"/>
      <c r="H335" s="264"/>
    </row>
    <row r="336" spans="3:8">
      <c r="C336" s="264"/>
      <c r="D336" s="264"/>
      <c r="E336" s="264"/>
      <c r="F336" s="264"/>
      <c r="G336" s="264"/>
      <c r="H336" s="264"/>
    </row>
    <row r="337" spans="3:8">
      <c r="C337" s="264"/>
      <c r="D337" s="264"/>
      <c r="E337" s="264"/>
      <c r="F337" s="264"/>
      <c r="G337" s="264"/>
      <c r="H337" s="264"/>
    </row>
    <row r="338" spans="3:8">
      <c r="C338" s="264"/>
      <c r="D338" s="264"/>
      <c r="E338" s="264"/>
      <c r="F338" s="264"/>
      <c r="G338" s="264"/>
      <c r="H338" s="264"/>
    </row>
    <row r="339" spans="3:8">
      <c r="C339" s="264"/>
      <c r="D339" s="264"/>
      <c r="E339" s="264"/>
      <c r="F339" s="264"/>
      <c r="G339" s="264"/>
      <c r="H339" s="264"/>
    </row>
    <row r="340" spans="3:8">
      <c r="C340" s="264"/>
      <c r="D340" s="264"/>
      <c r="E340" s="264"/>
      <c r="F340" s="264"/>
      <c r="G340" s="264"/>
      <c r="H340" s="264"/>
    </row>
    <row r="341" spans="3:8">
      <c r="C341" s="264"/>
      <c r="D341" s="264"/>
      <c r="E341" s="264"/>
      <c r="F341" s="264"/>
      <c r="G341" s="264"/>
      <c r="H341" s="264"/>
    </row>
    <row r="342" spans="3:8">
      <c r="C342" s="264"/>
      <c r="D342" s="264"/>
      <c r="E342" s="264"/>
      <c r="F342" s="264"/>
      <c r="G342" s="264"/>
      <c r="H342" s="264"/>
    </row>
    <row r="343" spans="3:8">
      <c r="C343" s="264"/>
      <c r="D343" s="264"/>
      <c r="E343" s="264"/>
      <c r="F343" s="264"/>
      <c r="G343" s="264"/>
      <c r="H343" s="264"/>
    </row>
    <row r="344" spans="3:8">
      <c r="C344" s="264"/>
      <c r="D344" s="264"/>
      <c r="E344" s="264"/>
      <c r="F344" s="264"/>
      <c r="G344" s="264"/>
      <c r="H344" s="264"/>
    </row>
    <row r="345" spans="3:8">
      <c r="C345" s="264"/>
      <c r="D345" s="264"/>
      <c r="E345" s="264"/>
      <c r="F345" s="264"/>
      <c r="G345" s="264"/>
      <c r="H345" s="264"/>
    </row>
    <row r="346" spans="3:8">
      <c r="C346" s="264"/>
      <c r="D346" s="264"/>
      <c r="E346" s="264"/>
      <c r="F346" s="264"/>
      <c r="G346" s="264"/>
      <c r="H346" s="264"/>
    </row>
    <row r="347" spans="3:8">
      <c r="C347" s="264"/>
      <c r="D347" s="264"/>
      <c r="E347" s="264"/>
      <c r="F347" s="264"/>
      <c r="G347" s="264"/>
      <c r="H347" s="264"/>
    </row>
    <row r="348" spans="3:8">
      <c r="C348" s="264"/>
      <c r="D348" s="264"/>
      <c r="E348" s="264"/>
      <c r="F348" s="264"/>
      <c r="G348" s="264"/>
      <c r="H348" s="264"/>
    </row>
    <row r="349" spans="3:8">
      <c r="C349" s="264"/>
      <c r="D349" s="264"/>
      <c r="E349" s="264"/>
      <c r="F349" s="264"/>
      <c r="G349" s="264"/>
      <c r="H349" s="264"/>
    </row>
    <row r="350" spans="3:8">
      <c r="C350" s="264"/>
      <c r="D350" s="264"/>
      <c r="E350" s="264"/>
      <c r="F350" s="264"/>
      <c r="G350" s="264"/>
      <c r="H350" s="264"/>
    </row>
  </sheetData>
  <sheetProtection algorithmName="SHA-512" hashValue="582iHuBFyj9mVU9nEZ/3h7eNS3dm6HMIiYzOcw2EcAqOBsr1j5wJueqoXmeRfNR3k9BC3AhiI293TPiXUF5RqA==" saltValue="mfhlq6VH0Nw3GPhVc9HGaQ==" spinCount="100000" sheet="1" objects="1" scenarios="1"/>
  <mergeCells count="160">
    <mergeCell ref="B59:C59"/>
    <mergeCell ref="F60:G60"/>
    <mergeCell ref="AA2:AB3"/>
    <mergeCell ref="AC2:AE2"/>
    <mergeCell ref="AF2:AI2"/>
    <mergeCell ref="F51:G51"/>
    <mergeCell ref="F50:G50"/>
    <mergeCell ref="F55:G55"/>
    <mergeCell ref="F59:G59"/>
    <mergeCell ref="F52:G52"/>
    <mergeCell ref="F57:G57"/>
    <mergeCell ref="F56:G56"/>
    <mergeCell ref="U41:V41"/>
    <mergeCell ref="F54:G54"/>
    <mergeCell ref="F53:G53"/>
    <mergeCell ref="F1:I4"/>
    <mergeCell ref="F58:G58"/>
    <mergeCell ref="G12:I12"/>
    <mergeCell ref="B66:C66"/>
    <mergeCell ref="B41:C41"/>
    <mergeCell ref="B48:I49"/>
    <mergeCell ref="B28:C28"/>
    <mergeCell ref="B18:C20"/>
    <mergeCell ref="D18:E19"/>
    <mergeCell ref="B30:C30"/>
    <mergeCell ref="G10:I10"/>
    <mergeCell ref="I18:I20"/>
    <mergeCell ref="H18:H20"/>
    <mergeCell ref="F18:G19"/>
    <mergeCell ref="B39:C39"/>
    <mergeCell ref="G11:I11"/>
    <mergeCell ref="B42:C42"/>
    <mergeCell ref="B50:C50"/>
    <mergeCell ref="B55:C55"/>
    <mergeCell ref="B56:C56"/>
    <mergeCell ref="B54:C54"/>
    <mergeCell ref="B51:C51"/>
    <mergeCell ref="B52:C52"/>
    <mergeCell ref="B53:C53"/>
    <mergeCell ref="B60:C60"/>
    <mergeCell ref="B57:C57"/>
    <mergeCell ref="B58:C58"/>
    <mergeCell ref="F82:G82"/>
    <mergeCell ref="F83:G83"/>
    <mergeCell ref="F79:G79"/>
    <mergeCell ref="F81:G81"/>
    <mergeCell ref="B68:C68"/>
    <mergeCell ref="B81:C81"/>
    <mergeCell ref="B75:C75"/>
    <mergeCell ref="F75:G75"/>
    <mergeCell ref="B77:C77"/>
    <mergeCell ref="B73:C73"/>
    <mergeCell ref="F74:G74"/>
    <mergeCell ref="B74:C74"/>
    <mergeCell ref="B63:C63"/>
    <mergeCell ref="F63:G63"/>
    <mergeCell ref="B65:C65"/>
    <mergeCell ref="F86:G86"/>
    <mergeCell ref="F62:G62"/>
    <mergeCell ref="F61:G61"/>
    <mergeCell ref="F73:G73"/>
    <mergeCell ref="F76:G76"/>
    <mergeCell ref="B72:C72"/>
    <mergeCell ref="B71:C71"/>
    <mergeCell ref="F72:G72"/>
    <mergeCell ref="F67:G67"/>
    <mergeCell ref="B70:C70"/>
    <mergeCell ref="F69:G69"/>
    <mergeCell ref="B69:C69"/>
    <mergeCell ref="B83:C83"/>
    <mergeCell ref="F77:G77"/>
    <mergeCell ref="B85:C85"/>
    <mergeCell ref="F85:G85"/>
    <mergeCell ref="F65:G65"/>
    <mergeCell ref="B62:C62"/>
    <mergeCell ref="B61:C61"/>
    <mergeCell ref="F78:G78"/>
    <mergeCell ref="B84:C84"/>
    <mergeCell ref="B91:C91"/>
    <mergeCell ref="F91:G91"/>
    <mergeCell ref="F90:G90"/>
    <mergeCell ref="B64:C64"/>
    <mergeCell ref="F64:G64"/>
    <mergeCell ref="B89:C89"/>
    <mergeCell ref="F89:G89"/>
    <mergeCell ref="F88:G88"/>
    <mergeCell ref="B86:C86"/>
    <mergeCell ref="B90:C90"/>
    <mergeCell ref="B88:C88"/>
    <mergeCell ref="F68:G68"/>
    <mergeCell ref="F70:G70"/>
    <mergeCell ref="B87:C87"/>
    <mergeCell ref="F87:G87"/>
    <mergeCell ref="F80:G80"/>
    <mergeCell ref="B80:C80"/>
    <mergeCell ref="B79:C79"/>
    <mergeCell ref="B78:C78"/>
    <mergeCell ref="F71:G71"/>
    <mergeCell ref="F66:G66"/>
    <mergeCell ref="B76:C76"/>
    <mergeCell ref="F84:G84"/>
    <mergeCell ref="B82:C82"/>
    <mergeCell ref="F105:G105"/>
    <mergeCell ref="B94:C94"/>
    <mergeCell ref="F94:G94"/>
    <mergeCell ref="B67:C67"/>
    <mergeCell ref="B93:C93"/>
    <mergeCell ref="F93:G93"/>
    <mergeCell ref="B92:C92"/>
    <mergeCell ref="B101:C101"/>
    <mergeCell ref="F101:G101"/>
    <mergeCell ref="B102:C102"/>
    <mergeCell ref="F102:G102"/>
    <mergeCell ref="B100:C100"/>
    <mergeCell ref="F100:G100"/>
    <mergeCell ref="B95:C95"/>
    <mergeCell ref="F95:G95"/>
    <mergeCell ref="B96:C96"/>
    <mergeCell ref="F96:G96"/>
    <mergeCell ref="B97:C97"/>
    <mergeCell ref="F97:G97"/>
    <mergeCell ref="B98:C98"/>
    <mergeCell ref="F98:G98"/>
    <mergeCell ref="B99:C99"/>
    <mergeCell ref="F99:G99"/>
    <mergeCell ref="F92:G92"/>
    <mergeCell ref="B120:C120"/>
    <mergeCell ref="F120:G120"/>
    <mergeCell ref="B118:C118"/>
    <mergeCell ref="F118:G118"/>
    <mergeCell ref="B119:C119"/>
    <mergeCell ref="F119:G119"/>
    <mergeCell ref="B114:C114"/>
    <mergeCell ref="F114:G114"/>
    <mergeCell ref="B111:C111"/>
    <mergeCell ref="F111:G111"/>
    <mergeCell ref="AN42:AO42"/>
    <mergeCell ref="AN41:AO41"/>
    <mergeCell ref="AN18:AO20"/>
    <mergeCell ref="AP18:AP19"/>
    <mergeCell ref="AN28:AO28"/>
    <mergeCell ref="AN30:AO30"/>
    <mergeCell ref="AN39:AO39"/>
    <mergeCell ref="B117:C117"/>
    <mergeCell ref="F117:G117"/>
    <mergeCell ref="B106:C106"/>
    <mergeCell ref="F106:G106"/>
    <mergeCell ref="B108:C108"/>
    <mergeCell ref="F108:G108"/>
    <mergeCell ref="B107:C107"/>
    <mergeCell ref="F107:G107"/>
    <mergeCell ref="B104:C104"/>
    <mergeCell ref="F104:G104"/>
    <mergeCell ref="B103:C103"/>
    <mergeCell ref="F103:G103"/>
    <mergeCell ref="B109:C109"/>
    <mergeCell ref="F109:G109"/>
    <mergeCell ref="B110:C110"/>
    <mergeCell ref="F110:G110"/>
    <mergeCell ref="B105:C105"/>
  </mergeCells>
  <phoneticPr fontId="5"/>
  <conditionalFormatting sqref="D45:D46">
    <cfRule type="cellIs" dxfId="9" priority="13" stopIfTrue="1" operator="greaterThan">
      <formula>0</formula>
    </cfRule>
  </conditionalFormatting>
  <conditionalFormatting sqref="H51:H120 H21:H43">
    <cfRule type="cellIs" dxfId="8" priority="14" stopIfTrue="1" operator="equal">
      <formula>"OK"</formula>
    </cfRule>
  </conditionalFormatting>
  <conditionalFormatting sqref="D41 F41">
    <cfRule type="expression" dxfId="7" priority="11" stopIfTrue="1">
      <formula>$H$41="要確認92"</formula>
    </cfRule>
    <cfRule type="expression" dxfId="6" priority="12" stopIfTrue="1">
      <formula>$H$41="要確認93"</formula>
    </cfRule>
  </conditionalFormatting>
  <conditionalFormatting sqref="D42 F42">
    <cfRule type="expression" dxfId="5" priority="9" stopIfTrue="1">
      <formula>$H$42="要確認99"</formula>
    </cfRule>
    <cfRule type="expression" dxfId="4" priority="10" stopIfTrue="1">
      <formula>$H$42="要確認100"</formula>
    </cfRule>
  </conditionalFormatting>
  <conditionalFormatting sqref="AP41">
    <cfRule type="expression" dxfId="3" priority="1" stopIfTrue="1">
      <formula>#REF!="要確認92"</formula>
    </cfRule>
    <cfRule type="expression" dxfId="2" priority="2" stopIfTrue="1">
      <formula>#REF!="要確認93"</formula>
    </cfRule>
  </conditionalFormatting>
  <conditionalFormatting sqref="AP42">
    <cfRule type="expression" dxfId="1" priority="3" stopIfTrue="1">
      <formula>#REF!="要確認99"</formula>
    </cfRule>
    <cfRule type="expression" dxfId="0" priority="4" stopIfTrue="1">
      <formula>#REF!="要確認100"</formula>
    </cfRule>
  </conditionalFormatting>
  <pageMargins left="0.39370078740157483" right="0.15748031496062992" top="0.59055118110236227" bottom="0.23622047244094491" header="0.31496062992125984" footer="0.15748031496062992"/>
  <pageSetup paperSize="8" scale="65" orientation="landscape" r:id="rId1"/>
  <headerFooter alignWithMargins="0">
    <oddHeader>&amp;L&amp;A</oddHeader>
    <oddFooter>&amp;C&amp;P/&amp;N</oddFooter>
  </headerFooter>
  <rowBreaks count="1" manualBreakCount="1">
    <brk id="43" max="19"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indexed="44"/>
  </sheetPr>
  <dimension ref="A1:K147"/>
  <sheetViews>
    <sheetView showGridLines="0" zoomScaleNormal="100" workbookViewId="0">
      <pane ySplit="3" topLeftCell="A4" activePane="bottomLeft" state="frozen"/>
      <selection activeCell="W10" sqref="W10"/>
      <selection pane="bottomLeft" activeCell="B4" sqref="B4:B7"/>
    </sheetView>
  </sheetViews>
  <sheetFormatPr defaultRowHeight="14.25"/>
  <cols>
    <col min="1" max="1" width="2.5" style="275" customWidth="1"/>
    <col min="2" max="2" width="14.625" style="225" customWidth="1"/>
    <col min="3" max="3" width="14.625" style="226" customWidth="1"/>
    <col min="4" max="8" width="12.875" style="226" customWidth="1"/>
    <col min="9" max="9" width="35.75" style="227" customWidth="1"/>
    <col min="10" max="10" width="0" style="226" hidden="1" customWidth="1"/>
    <col min="11" max="16384" width="9" style="226"/>
  </cols>
  <sheetData>
    <row r="1" spans="1:11" s="192" customFormat="1" ht="31.5" customHeight="1">
      <c r="A1" s="334"/>
      <c r="B1" s="2759" t="s">
        <v>75</v>
      </c>
      <c r="C1" s="2759"/>
      <c r="D1" s="2759"/>
      <c r="E1" s="2759"/>
      <c r="F1" s="2759"/>
      <c r="G1" s="2759"/>
      <c r="H1" s="2759"/>
      <c r="I1" s="2759"/>
      <c r="J1" s="681"/>
    </row>
    <row r="2" spans="1:11" s="192" customFormat="1" ht="31.5" customHeight="1">
      <c r="A2" s="334"/>
      <c r="B2" s="318" t="s">
        <v>214</v>
      </c>
      <c r="C2" s="314"/>
      <c r="D2" s="314"/>
      <c r="E2" s="314"/>
      <c r="F2" s="314"/>
      <c r="G2" s="314"/>
      <c r="H2" s="314"/>
    </row>
    <row r="3" spans="1:11" s="192" customFormat="1" ht="30.95" customHeight="1">
      <c r="A3" s="277"/>
      <c r="B3" s="397" t="s">
        <v>754</v>
      </c>
      <c r="C3" s="397" t="s">
        <v>215</v>
      </c>
      <c r="D3" s="2760" t="s">
        <v>463</v>
      </c>
      <c r="E3" s="2761"/>
      <c r="F3" s="2761"/>
      <c r="G3" s="2761"/>
      <c r="H3" s="2762" t="s">
        <v>796</v>
      </c>
      <c r="I3" s="2762"/>
      <c r="J3" s="679"/>
      <c r="K3" s="883"/>
    </row>
    <row r="4" spans="1:11" s="192" customFormat="1" ht="30.95" customHeight="1">
      <c r="A4" s="277"/>
      <c r="B4" s="2736" t="s">
        <v>797</v>
      </c>
      <c r="C4" s="376" t="s">
        <v>734</v>
      </c>
      <c r="D4" s="2691" t="s">
        <v>196</v>
      </c>
      <c r="E4" s="2691"/>
      <c r="F4" s="2691"/>
      <c r="G4" s="2692"/>
      <c r="H4" s="2691" t="s">
        <v>197</v>
      </c>
      <c r="I4" s="2691"/>
      <c r="J4" s="679"/>
      <c r="K4" s="883"/>
    </row>
    <row r="5" spans="1:11" s="192" customFormat="1" ht="30.95" customHeight="1">
      <c r="A5" s="277"/>
      <c r="B5" s="2737"/>
      <c r="C5" s="376" t="s">
        <v>735</v>
      </c>
      <c r="D5" s="2693" t="s">
        <v>198</v>
      </c>
      <c r="E5" s="2693"/>
      <c r="F5" s="2693"/>
      <c r="G5" s="2694"/>
      <c r="H5" s="2691"/>
      <c r="I5" s="2691"/>
      <c r="J5" s="679"/>
      <c r="K5" s="883"/>
    </row>
    <row r="6" spans="1:11" ht="30.95" customHeight="1">
      <c r="A6" s="277"/>
      <c r="B6" s="2737"/>
      <c r="C6" s="376" t="s">
        <v>736</v>
      </c>
      <c r="D6" s="2693" t="s">
        <v>199</v>
      </c>
      <c r="E6" s="2693"/>
      <c r="F6" s="2693"/>
      <c r="G6" s="2694"/>
      <c r="H6" s="2691"/>
      <c r="I6" s="2691"/>
      <c r="J6" s="884"/>
      <c r="K6" s="885"/>
    </row>
    <row r="7" spans="1:11" ht="30.95" customHeight="1">
      <c r="A7" s="277"/>
      <c r="B7" s="2738"/>
      <c r="C7" s="376" t="s">
        <v>737</v>
      </c>
      <c r="D7" s="2691" t="s">
        <v>200</v>
      </c>
      <c r="E7" s="2691"/>
      <c r="F7" s="2691"/>
      <c r="G7" s="2692"/>
      <c r="H7" s="2691" t="s">
        <v>315</v>
      </c>
      <c r="I7" s="2691"/>
      <c r="J7" s="884"/>
      <c r="K7" s="885"/>
    </row>
    <row r="8" spans="1:11" ht="30.95" customHeight="1">
      <c r="B8" s="2733" t="s">
        <v>316</v>
      </c>
      <c r="C8" s="376" t="s">
        <v>738</v>
      </c>
      <c r="D8" s="2691" t="s">
        <v>317</v>
      </c>
      <c r="E8" s="2691"/>
      <c r="F8" s="2691"/>
      <c r="G8" s="2692"/>
      <c r="H8" s="2693" t="s">
        <v>318</v>
      </c>
      <c r="I8" s="2693"/>
      <c r="J8" s="884"/>
      <c r="K8" s="885"/>
    </row>
    <row r="9" spans="1:11" ht="30.95" customHeight="1">
      <c r="B9" s="2734"/>
      <c r="C9" s="376" t="s">
        <v>739</v>
      </c>
      <c r="D9" s="2691" t="s">
        <v>319</v>
      </c>
      <c r="E9" s="2691"/>
      <c r="F9" s="2691"/>
      <c r="G9" s="2692"/>
      <c r="H9" s="2693"/>
      <c r="I9" s="2693"/>
      <c r="J9" s="884"/>
      <c r="K9" s="885"/>
    </row>
    <row r="10" spans="1:11" s="192" customFormat="1" ht="30.95" customHeight="1">
      <c r="A10" s="275"/>
      <c r="B10" s="2734"/>
      <c r="C10" s="376" t="s">
        <v>740</v>
      </c>
      <c r="D10" s="2691" t="s">
        <v>313</v>
      </c>
      <c r="E10" s="2691"/>
      <c r="F10" s="2691"/>
      <c r="G10" s="2692"/>
      <c r="H10" s="2693"/>
      <c r="I10" s="2693"/>
      <c r="J10" s="679"/>
      <c r="K10" s="883"/>
    </row>
    <row r="11" spans="1:11" s="192" customFormat="1" ht="30.95" customHeight="1">
      <c r="A11" s="277"/>
      <c r="B11" s="2735"/>
      <c r="C11" s="376" t="s">
        <v>741</v>
      </c>
      <c r="D11" s="377" t="s">
        <v>399</v>
      </c>
      <c r="E11" s="378"/>
      <c r="F11" s="378"/>
      <c r="G11" s="243"/>
      <c r="H11" s="2691" t="s">
        <v>400</v>
      </c>
      <c r="I11" s="2691"/>
      <c r="J11" s="679"/>
      <c r="K11" s="883"/>
    </row>
    <row r="12" spans="1:11" s="192" customFormat="1" ht="30.95" customHeight="1">
      <c r="A12" s="277"/>
      <c r="B12" s="2736" t="s">
        <v>854</v>
      </c>
      <c r="C12" s="376" t="s">
        <v>742</v>
      </c>
      <c r="D12" s="2691" t="s">
        <v>855</v>
      </c>
      <c r="E12" s="2691"/>
      <c r="F12" s="2691"/>
      <c r="G12" s="2692"/>
      <c r="H12" s="2691" t="s">
        <v>1019</v>
      </c>
      <c r="I12" s="2691"/>
      <c r="J12" s="679"/>
      <c r="K12" s="883"/>
    </row>
    <row r="13" spans="1:11" s="192" customFormat="1" ht="30.95" customHeight="1">
      <c r="A13" s="277"/>
      <c r="B13" s="2737"/>
      <c r="C13" s="376" t="s">
        <v>743</v>
      </c>
      <c r="D13" s="2691" t="s">
        <v>1020</v>
      </c>
      <c r="E13" s="2691"/>
      <c r="F13" s="2691"/>
      <c r="G13" s="2692"/>
      <c r="H13" s="2691"/>
      <c r="I13" s="2691"/>
      <c r="J13" s="679"/>
      <c r="K13" s="883"/>
    </row>
    <row r="14" spans="1:11" s="192" customFormat="1" ht="30.95" customHeight="1">
      <c r="A14" s="277"/>
      <c r="B14" s="2737"/>
      <c r="C14" s="376" t="s">
        <v>744</v>
      </c>
      <c r="D14" s="2691" t="s">
        <v>1021</v>
      </c>
      <c r="E14" s="2691"/>
      <c r="F14" s="2691"/>
      <c r="G14" s="2692"/>
      <c r="H14" s="2691"/>
      <c r="I14" s="2691"/>
      <c r="J14" s="679"/>
      <c r="K14" s="883"/>
    </row>
    <row r="15" spans="1:11" ht="30.95" customHeight="1">
      <c r="A15" s="277"/>
      <c r="B15" s="2737"/>
      <c r="C15" s="376" t="s">
        <v>745</v>
      </c>
      <c r="D15" s="2691" t="s">
        <v>634</v>
      </c>
      <c r="E15" s="2691"/>
      <c r="F15" s="2691"/>
      <c r="G15" s="2692"/>
      <c r="H15" s="2691"/>
      <c r="I15" s="2691"/>
      <c r="J15" s="884"/>
      <c r="K15" s="885"/>
    </row>
    <row r="16" spans="1:11" ht="30.95" customHeight="1">
      <c r="B16" s="2737"/>
      <c r="C16" s="376" t="s">
        <v>746</v>
      </c>
      <c r="D16" s="2691" t="s">
        <v>635</v>
      </c>
      <c r="E16" s="2691"/>
      <c r="F16" s="2691"/>
      <c r="G16" s="2692"/>
      <c r="H16" s="2691"/>
      <c r="I16" s="2691"/>
      <c r="J16" s="884"/>
      <c r="K16" s="885"/>
    </row>
    <row r="17" spans="2:11" ht="30.95" customHeight="1">
      <c r="B17" s="2737"/>
      <c r="C17" s="376" t="s">
        <v>747</v>
      </c>
      <c r="D17" s="2691" t="s">
        <v>820</v>
      </c>
      <c r="E17" s="2691"/>
      <c r="F17" s="2691"/>
      <c r="G17" s="2692"/>
      <c r="H17" s="2691" t="s">
        <v>636</v>
      </c>
      <c r="I17" s="2691"/>
      <c r="J17" s="884"/>
      <c r="K17" s="885"/>
    </row>
    <row r="18" spans="2:11" ht="30.95" customHeight="1">
      <c r="B18" s="2738"/>
      <c r="C18" s="376" t="s">
        <v>748</v>
      </c>
      <c r="D18" s="2691" t="s">
        <v>730</v>
      </c>
      <c r="E18" s="2691"/>
      <c r="F18" s="2691"/>
      <c r="G18" s="2692"/>
      <c r="H18" s="2691"/>
      <c r="I18" s="2691"/>
      <c r="J18" s="884"/>
      <c r="K18" s="885"/>
    </row>
    <row r="19" spans="2:11" ht="30.95" customHeight="1">
      <c r="B19" s="2733" t="s">
        <v>637</v>
      </c>
      <c r="C19" s="376" t="s">
        <v>459</v>
      </c>
      <c r="D19" s="2691" t="s">
        <v>638</v>
      </c>
      <c r="E19" s="2691"/>
      <c r="F19" s="2691"/>
      <c r="G19" s="2692"/>
      <c r="H19" s="2693" t="s">
        <v>639</v>
      </c>
      <c r="I19" s="2693"/>
      <c r="J19" s="884"/>
      <c r="K19" s="885"/>
    </row>
    <row r="20" spans="2:11" ht="30.95" customHeight="1">
      <c r="B20" s="2734"/>
      <c r="C20" s="376" t="s">
        <v>460</v>
      </c>
      <c r="D20" s="2691" t="s">
        <v>640</v>
      </c>
      <c r="E20" s="2691"/>
      <c r="F20" s="2691"/>
      <c r="G20" s="2692"/>
      <c r="H20" s="2693"/>
      <c r="I20" s="2693"/>
      <c r="J20" s="884"/>
      <c r="K20" s="885"/>
    </row>
    <row r="21" spans="2:11" ht="30.95" customHeight="1">
      <c r="B21" s="2734"/>
      <c r="C21" s="376" t="s">
        <v>461</v>
      </c>
      <c r="D21" s="2691" t="s">
        <v>158</v>
      </c>
      <c r="E21" s="2691"/>
      <c r="F21" s="2691"/>
      <c r="G21" s="2692"/>
      <c r="H21" s="2693"/>
      <c r="I21" s="2693"/>
      <c r="J21" s="884"/>
      <c r="K21" s="885"/>
    </row>
    <row r="22" spans="2:11" ht="30.95" customHeight="1">
      <c r="B22" s="2734"/>
      <c r="C22" s="376" t="s">
        <v>462</v>
      </c>
      <c r="D22" s="2647" t="s">
        <v>159</v>
      </c>
      <c r="E22" s="2647"/>
      <c r="F22" s="2647"/>
      <c r="G22" s="2743"/>
      <c r="H22" s="2693"/>
      <c r="I22" s="2693"/>
      <c r="J22" s="884"/>
      <c r="K22" s="885"/>
    </row>
    <row r="23" spans="2:11" ht="30.95" customHeight="1">
      <c r="B23" s="2734"/>
      <c r="C23" s="376" t="s">
        <v>846</v>
      </c>
      <c r="D23" s="2647" t="s">
        <v>160</v>
      </c>
      <c r="E23" s="2647"/>
      <c r="F23" s="2647"/>
      <c r="G23" s="2743"/>
      <c r="H23" s="2693"/>
      <c r="I23" s="2693"/>
      <c r="J23" s="884"/>
      <c r="K23" s="885"/>
    </row>
    <row r="24" spans="2:11" ht="30.95" customHeight="1">
      <c r="B24" s="2734"/>
      <c r="C24" s="376" t="s">
        <v>847</v>
      </c>
      <c r="D24" s="2691" t="s">
        <v>274</v>
      </c>
      <c r="E24" s="2691"/>
      <c r="F24" s="2691"/>
      <c r="G24" s="2692"/>
      <c r="H24" s="2693" t="s">
        <v>528</v>
      </c>
      <c r="I24" s="2693"/>
      <c r="J24" s="884"/>
      <c r="K24" s="885"/>
    </row>
    <row r="25" spans="2:11" ht="30.95" customHeight="1">
      <c r="B25" s="2735"/>
      <c r="C25" s="376" t="s">
        <v>1024</v>
      </c>
      <c r="D25" s="2691" t="s">
        <v>50</v>
      </c>
      <c r="E25" s="2691"/>
      <c r="F25" s="2691"/>
      <c r="G25" s="2692"/>
      <c r="H25" s="2693"/>
      <c r="I25" s="2693"/>
      <c r="J25" s="884"/>
      <c r="K25" s="885"/>
    </row>
    <row r="26" spans="2:11" ht="30.95" customHeight="1">
      <c r="B26" s="379" t="s">
        <v>2075</v>
      </c>
      <c r="C26" s="1820" t="s">
        <v>1025</v>
      </c>
      <c r="D26" s="2647" t="s">
        <v>2076</v>
      </c>
      <c r="E26" s="2647"/>
      <c r="F26" s="2647"/>
      <c r="G26" s="2743"/>
      <c r="H26" s="2693" t="s">
        <v>2077</v>
      </c>
      <c r="I26" s="2693"/>
      <c r="J26" s="884"/>
      <c r="K26" s="885"/>
    </row>
    <row r="27" spans="2:11" ht="30.95" customHeight="1">
      <c r="B27" s="2688" t="s">
        <v>278</v>
      </c>
      <c r="C27" s="1820" t="s">
        <v>1026</v>
      </c>
      <c r="D27" s="2706" t="s">
        <v>279</v>
      </c>
      <c r="E27" s="2706"/>
      <c r="F27" s="2706"/>
      <c r="G27" s="2707"/>
      <c r="H27" s="2693" t="s">
        <v>300</v>
      </c>
      <c r="I27" s="2693"/>
      <c r="J27" s="884"/>
      <c r="K27" s="885"/>
    </row>
    <row r="28" spans="2:11" ht="30.95" customHeight="1">
      <c r="B28" s="2689"/>
      <c r="C28" s="1820" t="s">
        <v>1027</v>
      </c>
      <c r="D28" s="2706" t="s">
        <v>301</v>
      </c>
      <c r="E28" s="2706"/>
      <c r="F28" s="2706"/>
      <c r="G28" s="2707"/>
      <c r="H28" s="2693"/>
      <c r="I28" s="2693"/>
      <c r="J28" s="884"/>
      <c r="K28" s="885"/>
    </row>
    <row r="29" spans="2:11" ht="30.95" customHeight="1">
      <c r="B29" s="2689"/>
      <c r="C29" s="1820" t="s">
        <v>1028</v>
      </c>
      <c r="D29" s="2706" t="s">
        <v>302</v>
      </c>
      <c r="E29" s="2706"/>
      <c r="F29" s="2706"/>
      <c r="G29" s="2707"/>
      <c r="H29" s="2693"/>
      <c r="I29" s="2693"/>
      <c r="J29" s="884"/>
      <c r="K29" s="885"/>
    </row>
    <row r="30" spans="2:11" ht="30.95" customHeight="1">
      <c r="B30" s="2689"/>
      <c r="C30" s="1820" t="s">
        <v>1029</v>
      </c>
      <c r="D30" s="2706" t="s">
        <v>303</v>
      </c>
      <c r="E30" s="2706"/>
      <c r="F30" s="2706"/>
      <c r="G30" s="2707"/>
      <c r="H30" s="2693"/>
      <c r="I30" s="2693"/>
      <c r="J30" s="884"/>
      <c r="K30" s="885"/>
    </row>
    <row r="31" spans="2:11" ht="30.95" customHeight="1">
      <c r="B31" s="2689"/>
      <c r="C31" s="1820" t="s">
        <v>1030</v>
      </c>
      <c r="D31" s="2706" t="s">
        <v>304</v>
      </c>
      <c r="E31" s="2706"/>
      <c r="F31" s="2706"/>
      <c r="G31" s="2707"/>
      <c r="H31" s="2693"/>
      <c r="I31" s="2693"/>
      <c r="J31" s="884"/>
      <c r="K31" s="885"/>
    </row>
    <row r="32" spans="2:11" ht="30.95" customHeight="1">
      <c r="B32" s="2689"/>
      <c r="C32" s="2747" t="s">
        <v>1031</v>
      </c>
      <c r="D32" s="2750" t="s">
        <v>2078</v>
      </c>
      <c r="E32" s="2751"/>
      <c r="F32" s="2751"/>
      <c r="G32" s="2752"/>
      <c r="H32" s="2688" t="s">
        <v>186</v>
      </c>
      <c r="I32" s="2688"/>
      <c r="J32" s="884"/>
      <c r="K32" s="885"/>
    </row>
    <row r="33" spans="2:11" ht="30.95" customHeight="1">
      <c r="B33" s="2689"/>
      <c r="C33" s="2748"/>
      <c r="D33" s="2753"/>
      <c r="E33" s="2754"/>
      <c r="F33" s="2754"/>
      <c r="G33" s="2755"/>
      <c r="H33" s="2689"/>
      <c r="I33" s="2689"/>
      <c r="J33" s="884"/>
      <c r="K33" s="885"/>
    </row>
    <row r="34" spans="2:11" ht="30.95" customHeight="1">
      <c r="B34" s="2689"/>
      <c r="C34" s="2749"/>
      <c r="D34" s="2756"/>
      <c r="E34" s="2757"/>
      <c r="F34" s="2757"/>
      <c r="G34" s="2758"/>
      <c r="H34" s="2690"/>
      <c r="I34" s="2690"/>
      <c r="J34" s="884"/>
      <c r="K34" s="885"/>
    </row>
    <row r="35" spans="2:11" ht="30.95" customHeight="1">
      <c r="B35" s="2689"/>
      <c r="C35" s="2747" t="s">
        <v>1032</v>
      </c>
      <c r="D35" s="2750" t="s">
        <v>2079</v>
      </c>
      <c r="E35" s="2751"/>
      <c r="F35" s="2751"/>
      <c r="G35" s="2752"/>
      <c r="H35" s="2688" t="s">
        <v>470</v>
      </c>
      <c r="I35" s="2688"/>
      <c r="J35" s="884"/>
      <c r="K35" s="885"/>
    </row>
    <row r="36" spans="2:11" ht="30.95" customHeight="1">
      <c r="B36" s="2689"/>
      <c r="C36" s="2748"/>
      <c r="D36" s="2753"/>
      <c r="E36" s="2754"/>
      <c r="F36" s="2754"/>
      <c r="G36" s="2755"/>
      <c r="H36" s="2689"/>
      <c r="I36" s="2689"/>
      <c r="J36" s="884"/>
      <c r="K36" s="885"/>
    </row>
    <row r="37" spans="2:11" ht="30.95" customHeight="1">
      <c r="B37" s="2690"/>
      <c r="C37" s="2749"/>
      <c r="D37" s="2756"/>
      <c r="E37" s="2757"/>
      <c r="F37" s="2757"/>
      <c r="G37" s="2758"/>
      <c r="H37" s="2690"/>
      <c r="I37" s="2690"/>
      <c r="J37" s="884"/>
      <c r="K37" s="885"/>
    </row>
    <row r="38" spans="2:11" ht="30.95" customHeight="1">
      <c r="B38" s="2733" t="s">
        <v>671</v>
      </c>
      <c r="C38" s="1820" t="s">
        <v>1033</v>
      </c>
      <c r="D38" s="2706" t="s">
        <v>672</v>
      </c>
      <c r="E38" s="2706"/>
      <c r="F38" s="2706"/>
      <c r="G38" s="2707"/>
      <c r="H38" s="2693" t="s">
        <v>673</v>
      </c>
      <c r="I38" s="2693"/>
      <c r="J38" s="884"/>
      <c r="K38" s="885"/>
    </row>
    <row r="39" spans="2:11" ht="30.95" customHeight="1">
      <c r="B39" s="2734"/>
      <c r="C39" s="1820" t="s">
        <v>1034</v>
      </c>
      <c r="D39" s="2706" t="s">
        <v>674</v>
      </c>
      <c r="E39" s="2706"/>
      <c r="F39" s="2706"/>
      <c r="G39" s="2707"/>
      <c r="H39" s="2693"/>
      <c r="I39" s="2693"/>
      <c r="J39" s="884"/>
      <c r="K39" s="885"/>
    </row>
    <row r="40" spans="2:11" ht="30.95" customHeight="1">
      <c r="B40" s="2734"/>
      <c r="C40" s="1820" t="s">
        <v>1035</v>
      </c>
      <c r="D40" s="2706" t="s">
        <v>690</v>
      </c>
      <c r="E40" s="2706"/>
      <c r="F40" s="2706"/>
      <c r="G40" s="2707"/>
      <c r="H40" s="2693"/>
      <c r="I40" s="2693"/>
      <c r="J40" s="884"/>
      <c r="K40" s="885"/>
    </row>
    <row r="41" spans="2:11" ht="30.95" customHeight="1">
      <c r="B41" s="2734"/>
      <c r="C41" s="1820" t="s">
        <v>1036</v>
      </c>
      <c r="D41" s="2706" t="s">
        <v>691</v>
      </c>
      <c r="E41" s="2706"/>
      <c r="F41" s="2706"/>
      <c r="G41" s="2707"/>
      <c r="H41" s="2693"/>
      <c r="I41" s="2693"/>
      <c r="J41" s="884"/>
      <c r="K41" s="885"/>
    </row>
    <row r="42" spans="2:11" ht="30.95" customHeight="1">
      <c r="B42" s="2734"/>
      <c r="C42" s="1820" t="s">
        <v>1037</v>
      </c>
      <c r="D42" s="2706" t="s">
        <v>323</v>
      </c>
      <c r="E42" s="2706"/>
      <c r="F42" s="2706"/>
      <c r="G42" s="2707"/>
      <c r="H42" s="2693"/>
      <c r="I42" s="2693"/>
      <c r="J42" s="884"/>
      <c r="K42" s="885"/>
    </row>
    <row r="43" spans="2:11" ht="30.95" customHeight="1">
      <c r="B43" s="2734"/>
      <c r="C43" s="1820" t="s">
        <v>1038</v>
      </c>
      <c r="D43" s="2707" t="s">
        <v>2080</v>
      </c>
      <c r="E43" s="2742"/>
      <c r="F43" s="2742"/>
      <c r="G43" s="2742"/>
      <c r="H43" s="2693" t="s">
        <v>838</v>
      </c>
      <c r="I43" s="2693"/>
      <c r="J43" s="884"/>
      <c r="K43" s="885"/>
    </row>
    <row r="44" spans="2:11" ht="30.95" customHeight="1">
      <c r="B44" s="2735"/>
      <c r="C44" s="1820" t="s">
        <v>1039</v>
      </c>
      <c r="D44" s="2707" t="s">
        <v>2081</v>
      </c>
      <c r="E44" s="2742"/>
      <c r="F44" s="2742"/>
      <c r="G44" s="2742"/>
      <c r="H44" s="2693"/>
      <c r="I44" s="2693"/>
      <c r="J44" s="884"/>
      <c r="K44" s="885"/>
    </row>
    <row r="45" spans="2:11" ht="30.95" customHeight="1">
      <c r="B45" s="379" t="s">
        <v>839</v>
      </c>
      <c r="C45" s="1820" t="s">
        <v>1040</v>
      </c>
      <c r="D45" s="2743" t="s">
        <v>840</v>
      </c>
      <c r="E45" s="2744"/>
      <c r="F45" s="2744"/>
      <c r="G45" s="2744"/>
      <c r="H45" s="2693" t="s">
        <v>380</v>
      </c>
      <c r="I45" s="2693"/>
      <c r="J45" s="884"/>
      <c r="K45" s="885"/>
    </row>
    <row r="46" spans="2:11" ht="30.95" customHeight="1">
      <c r="B46" s="380" t="s">
        <v>2082</v>
      </c>
      <c r="C46" s="1820" t="s">
        <v>1041</v>
      </c>
      <c r="D46" s="2745" t="s">
        <v>2083</v>
      </c>
      <c r="E46" s="2746"/>
      <c r="F46" s="2746"/>
      <c r="G46" s="2746"/>
      <c r="H46" s="2693" t="s">
        <v>2084</v>
      </c>
      <c r="I46" s="2693"/>
      <c r="J46" s="884"/>
      <c r="K46" s="885"/>
    </row>
    <row r="47" spans="2:11" ht="30.95" customHeight="1">
      <c r="B47" s="2733" t="s">
        <v>1016</v>
      </c>
      <c r="C47" s="376" t="s">
        <v>1042</v>
      </c>
      <c r="D47" s="2691" t="s">
        <v>305</v>
      </c>
      <c r="E47" s="2691"/>
      <c r="F47" s="2691"/>
      <c r="G47" s="2692"/>
      <c r="H47" s="2693" t="s">
        <v>306</v>
      </c>
      <c r="I47" s="2693"/>
      <c r="J47" s="884"/>
      <c r="K47" s="885"/>
    </row>
    <row r="48" spans="2:11" ht="30.95" customHeight="1">
      <c r="B48" s="2734"/>
      <c r="C48" s="376" t="s">
        <v>1043</v>
      </c>
      <c r="D48" s="2691" t="s">
        <v>307</v>
      </c>
      <c r="E48" s="2691"/>
      <c r="F48" s="2691"/>
      <c r="G48" s="2692"/>
      <c r="H48" s="2693"/>
      <c r="I48" s="2693"/>
      <c r="J48" s="884"/>
      <c r="K48" s="885"/>
    </row>
    <row r="49" spans="2:11" ht="30.95" customHeight="1">
      <c r="B49" s="2734"/>
      <c r="C49" s="376" t="s">
        <v>1044</v>
      </c>
      <c r="D49" s="2691" t="s">
        <v>373</v>
      </c>
      <c r="E49" s="2691"/>
      <c r="F49" s="2691"/>
      <c r="G49" s="2692"/>
      <c r="H49" s="2693"/>
      <c r="I49" s="2693"/>
      <c r="J49" s="884"/>
      <c r="K49" s="885"/>
    </row>
    <row r="50" spans="2:11" ht="30.95" customHeight="1">
      <c r="B50" s="2734"/>
      <c r="C50" s="376" t="s">
        <v>1045</v>
      </c>
      <c r="D50" s="2691" t="s">
        <v>374</v>
      </c>
      <c r="E50" s="2691"/>
      <c r="F50" s="2691"/>
      <c r="G50" s="2692"/>
      <c r="H50" s="2693"/>
      <c r="I50" s="2693"/>
      <c r="J50" s="884"/>
      <c r="K50" s="885"/>
    </row>
    <row r="51" spans="2:11" ht="30.95" customHeight="1">
      <c r="B51" s="2734"/>
      <c r="C51" s="376" t="s">
        <v>1046</v>
      </c>
      <c r="D51" s="2691" t="s">
        <v>108</v>
      </c>
      <c r="E51" s="2691"/>
      <c r="F51" s="2691"/>
      <c r="G51" s="2692"/>
      <c r="H51" s="2693"/>
      <c r="I51" s="2693"/>
      <c r="J51" s="884"/>
      <c r="K51" s="885"/>
    </row>
    <row r="52" spans="2:11" ht="30.95" customHeight="1">
      <c r="B52" s="2734"/>
      <c r="C52" s="376" t="s">
        <v>1047</v>
      </c>
      <c r="D52" s="2692" t="s">
        <v>109</v>
      </c>
      <c r="E52" s="2705"/>
      <c r="F52" s="2705"/>
      <c r="G52" s="2705"/>
      <c r="H52" s="2693" t="s">
        <v>838</v>
      </c>
      <c r="I52" s="2693"/>
      <c r="J52" s="884"/>
      <c r="K52" s="885"/>
    </row>
    <row r="53" spans="2:11" ht="30.95" customHeight="1">
      <c r="B53" s="2735"/>
      <c r="C53" s="376" t="s">
        <v>1048</v>
      </c>
      <c r="D53" s="2692" t="s">
        <v>114</v>
      </c>
      <c r="E53" s="2705"/>
      <c r="F53" s="2705"/>
      <c r="G53" s="2705"/>
      <c r="H53" s="2693"/>
      <c r="I53" s="2693"/>
      <c r="J53" s="884"/>
      <c r="K53" s="885"/>
    </row>
    <row r="54" spans="2:11" ht="30.95" customHeight="1">
      <c r="B54" s="2736" t="s">
        <v>115</v>
      </c>
      <c r="C54" s="376" t="s">
        <v>1049</v>
      </c>
      <c r="D54" s="2691" t="s">
        <v>116</v>
      </c>
      <c r="E54" s="2691"/>
      <c r="F54" s="2691"/>
      <c r="G54" s="2692"/>
      <c r="H54" s="2693" t="s">
        <v>117</v>
      </c>
      <c r="I54" s="2693"/>
      <c r="J54" s="884"/>
      <c r="K54" s="885"/>
    </row>
    <row r="55" spans="2:11" ht="30.95" customHeight="1">
      <c r="B55" s="2737"/>
      <c r="C55" s="376" t="s">
        <v>1050</v>
      </c>
      <c r="D55" s="2691" t="s">
        <v>118</v>
      </c>
      <c r="E55" s="2691"/>
      <c r="F55" s="2691"/>
      <c r="G55" s="2692"/>
      <c r="H55" s="2693"/>
      <c r="I55" s="2693"/>
      <c r="J55" s="884"/>
      <c r="K55" s="885"/>
    </row>
    <row r="56" spans="2:11" ht="30.95" customHeight="1">
      <c r="B56" s="2737"/>
      <c r="C56" s="376" t="s">
        <v>1051</v>
      </c>
      <c r="D56" s="2691" t="s">
        <v>187</v>
      </c>
      <c r="E56" s="2691"/>
      <c r="F56" s="2691"/>
      <c r="G56" s="2692"/>
      <c r="H56" s="2693"/>
      <c r="I56" s="2693"/>
      <c r="J56" s="884"/>
      <c r="K56" s="885"/>
    </row>
    <row r="57" spans="2:11" ht="30.95" customHeight="1">
      <c r="B57" s="2737"/>
      <c r="C57" s="376" t="s">
        <v>1052</v>
      </c>
      <c r="D57" s="2692" t="s">
        <v>580</v>
      </c>
      <c r="E57" s="2705"/>
      <c r="F57" s="2705"/>
      <c r="G57" s="2705"/>
      <c r="H57" s="2693" t="s">
        <v>838</v>
      </c>
      <c r="I57" s="2693"/>
      <c r="J57" s="884"/>
      <c r="K57" s="885"/>
    </row>
    <row r="58" spans="2:11" ht="30.95" customHeight="1">
      <c r="B58" s="2738"/>
      <c r="C58" s="376" t="s">
        <v>1053</v>
      </c>
      <c r="D58" s="2692" t="s">
        <v>581</v>
      </c>
      <c r="E58" s="2705"/>
      <c r="F58" s="2705"/>
      <c r="G58" s="2705"/>
      <c r="H58" s="2693"/>
      <c r="I58" s="2693"/>
      <c r="J58" s="884"/>
      <c r="K58" s="885"/>
    </row>
    <row r="59" spans="2:11" ht="30.95" customHeight="1">
      <c r="B59" s="2736" t="s">
        <v>582</v>
      </c>
      <c r="C59" s="376" t="s">
        <v>1054</v>
      </c>
      <c r="D59" s="2691" t="s">
        <v>583</v>
      </c>
      <c r="E59" s="2691"/>
      <c r="F59" s="2691"/>
      <c r="G59" s="2692"/>
      <c r="H59" s="2693" t="s">
        <v>862</v>
      </c>
      <c r="I59" s="2693"/>
      <c r="J59" s="884"/>
      <c r="K59" s="885"/>
    </row>
    <row r="60" spans="2:11" ht="30.95" customHeight="1">
      <c r="B60" s="2737"/>
      <c r="C60" s="376" t="s">
        <v>1055</v>
      </c>
      <c r="D60" s="2691" t="s">
        <v>863</v>
      </c>
      <c r="E60" s="2691"/>
      <c r="F60" s="2691"/>
      <c r="G60" s="2692"/>
      <c r="H60" s="2693"/>
      <c r="I60" s="2693"/>
      <c r="J60" s="884"/>
      <c r="K60" s="885"/>
    </row>
    <row r="61" spans="2:11" ht="30.95" customHeight="1">
      <c r="B61" s="2737"/>
      <c r="C61" s="376" t="s">
        <v>1056</v>
      </c>
      <c r="D61" s="2691" t="s">
        <v>465</v>
      </c>
      <c r="E61" s="2691"/>
      <c r="F61" s="2691"/>
      <c r="G61" s="2692"/>
      <c r="H61" s="2693"/>
      <c r="I61" s="2693"/>
      <c r="J61" s="884"/>
      <c r="K61" s="885"/>
    </row>
    <row r="62" spans="2:11" ht="30.95" customHeight="1">
      <c r="B62" s="2737"/>
      <c r="C62" s="376" t="s">
        <v>1057</v>
      </c>
      <c r="D62" s="2691" t="s">
        <v>466</v>
      </c>
      <c r="E62" s="2691"/>
      <c r="F62" s="2691"/>
      <c r="G62" s="2692"/>
      <c r="H62" s="2693"/>
      <c r="I62" s="2693"/>
      <c r="J62" s="884"/>
      <c r="K62" s="885"/>
    </row>
    <row r="63" spans="2:11" ht="30.95" customHeight="1">
      <c r="B63" s="2737"/>
      <c r="C63" s="376" t="s">
        <v>1058</v>
      </c>
      <c r="D63" s="2691" t="s">
        <v>455</v>
      </c>
      <c r="E63" s="2691"/>
      <c r="F63" s="2691"/>
      <c r="G63" s="2692"/>
      <c r="H63" s="2693"/>
      <c r="I63" s="2693"/>
      <c r="J63" s="884"/>
      <c r="K63" s="885"/>
    </row>
    <row r="64" spans="2:11" ht="30.95" customHeight="1">
      <c r="B64" s="2737"/>
      <c r="C64" s="376" t="s">
        <v>1059</v>
      </c>
      <c r="D64" s="2692" t="s">
        <v>456</v>
      </c>
      <c r="E64" s="2705"/>
      <c r="F64" s="2705"/>
      <c r="G64" s="2705"/>
      <c r="H64" s="2693" t="s">
        <v>838</v>
      </c>
      <c r="I64" s="2693"/>
      <c r="J64" s="884"/>
      <c r="K64" s="885"/>
    </row>
    <row r="65" spans="2:11" ht="30.95" customHeight="1">
      <c r="B65" s="2738"/>
      <c r="C65" s="376" t="s">
        <v>1060</v>
      </c>
      <c r="D65" s="2692" t="s">
        <v>457</v>
      </c>
      <c r="E65" s="2705"/>
      <c r="F65" s="2705"/>
      <c r="G65" s="2705"/>
      <c r="H65" s="2693"/>
      <c r="I65" s="2693"/>
      <c r="J65" s="884"/>
      <c r="K65" s="885"/>
    </row>
    <row r="66" spans="2:11" ht="30.95" customHeight="1">
      <c r="B66" s="2741" t="s">
        <v>5727</v>
      </c>
      <c r="C66" s="376" t="s">
        <v>1061</v>
      </c>
      <c r="D66" s="2691" t="s">
        <v>5728</v>
      </c>
      <c r="E66" s="2691"/>
      <c r="F66" s="2691"/>
      <c r="G66" s="2692"/>
      <c r="H66" s="2693" t="s">
        <v>5729</v>
      </c>
      <c r="I66" s="2693"/>
      <c r="J66" s="884"/>
      <c r="K66" s="885"/>
    </row>
    <row r="67" spans="2:11" ht="30.95" customHeight="1">
      <c r="B67" s="2737"/>
      <c r="C67" s="376" t="s">
        <v>1062</v>
      </c>
      <c r="D67" s="2691" t="s">
        <v>5730</v>
      </c>
      <c r="E67" s="2691"/>
      <c r="F67" s="2691"/>
      <c r="G67" s="2692"/>
      <c r="H67" s="2693"/>
      <c r="I67" s="2693"/>
      <c r="J67" s="884"/>
      <c r="K67" s="885"/>
    </row>
    <row r="68" spans="2:11" ht="30.95" customHeight="1">
      <c r="B68" s="2737"/>
      <c r="C68" s="376" t="s">
        <v>1063</v>
      </c>
      <c r="D68" s="2691" t="s">
        <v>5731</v>
      </c>
      <c r="E68" s="2691"/>
      <c r="F68" s="2691"/>
      <c r="G68" s="2692"/>
      <c r="H68" s="2693"/>
      <c r="I68" s="2693"/>
      <c r="J68" s="884"/>
      <c r="K68" s="885"/>
    </row>
    <row r="69" spans="2:11" ht="30.95" customHeight="1">
      <c r="B69" s="2737"/>
      <c r="C69" s="376" t="s">
        <v>1064</v>
      </c>
      <c r="D69" s="2692" t="s">
        <v>5732</v>
      </c>
      <c r="E69" s="2705"/>
      <c r="F69" s="2705"/>
      <c r="G69" s="2705"/>
      <c r="H69" s="2688" t="s">
        <v>471</v>
      </c>
      <c r="I69" s="2688"/>
      <c r="J69" s="884"/>
      <c r="K69" s="885"/>
    </row>
    <row r="70" spans="2:11" ht="30.95" customHeight="1">
      <c r="B70" s="2738"/>
      <c r="C70" s="376" t="s">
        <v>1065</v>
      </c>
      <c r="D70" s="2692" t="s">
        <v>5733</v>
      </c>
      <c r="E70" s="2705"/>
      <c r="F70" s="2705"/>
      <c r="G70" s="2705"/>
      <c r="H70" s="2690"/>
      <c r="I70" s="2690"/>
      <c r="J70" s="884"/>
      <c r="K70" s="885"/>
    </row>
    <row r="71" spans="2:11" ht="30.95" customHeight="1">
      <c r="B71" s="2736" t="s">
        <v>1004</v>
      </c>
      <c r="C71" s="376" t="s">
        <v>1066</v>
      </c>
      <c r="D71" s="2691" t="s">
        <v>1005</v>
      </c>
      <c r="E71" s="2691"/>
      <c r="F71" s="2691"/>
      <c r="G71" s="2692"/>
      <c r="H71" s="2693" t="s">
        <v>1006</v>
      </c>
      <c r="I71" s="2693"/>
      <c r="J71" s="884"/>
      <c r="K71" s="885"/>
    </row>
    <row r="72" spans="2:11" ht="30.95" customHeight="1">
      <c r="B72" s="2737"/>
      <c r="C72" s="376" t="s">
        <v>1067</v>
      </c>
      <c r="D72" s="2691" t="s">
        <v>1007</v>
      </c>
      <c r="E72" s="2691"/>
      <c r="F72" s="2691"/>
      <c r="G72" s="2692"/>
      <c r="H72" s="2693"/>
      <c r="I72" s="2693"/>
      <c r="J72" s="884"/>
      <c r="K72" s="885"/>
    </row>
    <row r="73" spans="2:11" ht="30.95" customHeight="1">
      <c r="B73" s="2737"/>
      <c r="C73" s="376" t="s">
        <v>1068</v>
      </c>
      <c r="D73" s="2691" t="s">
        <v>1008</v>
      </c>
      <c r="E73" s="2691"/>
      <c r="F73" s="2691"/>
      <c r="G73" s="2692"/>
      <c r="H73" s="2693"/>
      <c r="I73" s="2693"/>
      <c r="J73" s="884"/>
      <c r="K73" s="885"/>
    </row>
    <row r="74" spans="2:11" ht="30.95" customHeight="1">
      <c r="B74" s="2737"/>
      <c r="C74" s="376" t="s">
        <v>1069</v>
      </c>
      <c r="D74" s="2693" t="s">
        <v>1009</v>
      </c>
      <c r="E74" s="2693"/>
      <c r="F74" s="2693"/>
      <c r="G74" s="2694"/>
      <c r="H74" s="2693" t="s">
        <v>1010</v>
      </c>
      <c r="I74" s="2693"/>
      <c r="J74" s="884"/>
      <c r="K74" s="885"/>
    </row>
    <row r="75" spans="2:11" ht="30.95" customHeight="1">
      <c r="B75" s="2737"/>
      <c r="C75" s="376" t="s">
        <v>1070</v>
      </c>
      <c r="D75" s="2739" t="s">
        <v>1011</v>
      </c>
      <c r="E75" s="2739"/>
      <c r="F75" s="2739"/>
      <c r="G75" s="2740"/>
      <c r="H75" s="2693" t="s">
        <v>1012</v>
      </c>
      <c r="I75" s="2693"/>
      <c r="J75" s="884"/>
      <c r="K75" s="885"/>
    </row>
    <row r="76" spans="2:11" ht="30.95" customHeight="1">
      <c r="B76" s="2737"/>
      <c r="C76" s="376" t="s">
        <v>1071</v>
      </c>
      <c r="D76" s="2692" t="s">
        <v>758</v>
      </c>
      <c r="E76" s="2705"/>
      <c r="F76" s="2705"/>
      <c r="G76" s="2705"/>
      <c r="H76" s="2693" t="s">
        <v>552</v>
      </c>
      <c r="I76" s="2693"/>
      <c r="J76" s="884"/>
      <c r="K76" s="885"/>
    </row>
    <row r="77" spans="2:11" ht="30.95" customHeight="1">
      <c r="B77" s="2738"/>
      <c r="C77" s="376" t="s">
        <v>1072</v>
      </c>
      <c r="D77" s="2692" t="s">
        <v>553</v>
      </c>
      <c r="E77" s="2705"/>
      <c r="F77" s="2705"/>
      <c r="G77" s="2705"/>
      <c r="H77" s="2693"/>
      <c r="I77" s="2693"/>
      <c r="J77" s="884"/>
      <c r="K77" s="885"/>
    </row>
    <row r="78" spans="2:11" ht="30.95" customHeight="1">
      <c r="B78" s="2688" t="s">
        <v>554</v>
      </c>
      <c r="C78" s="376" t="s">
        <v>79</v>
      </c>
      <c r="D78" s="2691" t="s">
        <v>555</v>
      </c>
      <c r="E78" s="2691"/>
      <c r="F78" s="2691"/>
      <c r="G78" s="2692"/>
      <c r="H78" s="2693" t="s">
        <v>556</v>
      </c>
      <c r="I78" s="2693"/>
      <c r="J78" s="884"/>
      <c r="K78" s="885"/>
    </row>
    <row r="79" spans="2:11" ht="30.95" customHeight="1">
      <c r="B79" s="2689"/>
      <c r="C79" s="376" t="s">
        <v>80</v>
      </c>
      <c r="D79" s="2691" t="s">
        <v>557</v>
      </c>
      <c r="E79" s="2691"/>
      <c r="F79" s="2691"/>
      <c r="G79" s="2692"/>
      <c r="H79" s="2693"/>
      <c r="I79" s="2693"/>
      <c r="J79" s="884"/>
      <c r="K79" s="885"/>
    </row>
    <row r="80" spans="2:11" ht="30.95" customHeight="1">
      <c r="B80" s="2689"/>
      <c r="C80" s="376" t="s">
        <v>81</v>
      </c>
      <c r="D80" s="2691" t="s">
        <v>558</v>
      </c>
      <c r="E80" s="2691"/>
      <c r="F80" s="2691"/>
      <c r="G80" s="2692"/>
      <c r="H80" s="2693"/>
      <c r="I80" s="2693"/>
      <c r="J80" s="884"/>
      <c r="K80" s="885"/>
    </row>
    <row r="81" spans="2:11" ht="30.95" customHeight="1">
      <c r="B81" s="2689"/>
      <c r="C81" s="376" t="s">
        <v>82</v>
      </c>
      <c r="D81" s="2691" t="s">
        <v>559</v>
      </c>
      <c r="E81" s="2691"/>
      <c r="F81" s="2691"/>
      <c r="G81" s="2692"/>
      <c r="H81" s="2693"/>
      <c r="I81" s="2693"/>
      <c r="J81" s="884"/>
      <c r="K81" s="885"/>
    </row>
    <row r="82" spans="2:11" ht="30.95" customHeight="1">
      <c r="B82" s="2689"/>
      <c r="C82" s="376" t="s">
        <v>83</v>
      </c>
      <c r="D82" s="2691" t="s">
        <v>560</v>
      </c>
      <c r="E82" s="2691"/>
      <c r="F82" s="2691"/>
      <c r="G82" s="2692"/>
      <c r="H82" s="2693"/>
      <c r="I82" s="2693"/>
      <c r="J82" s="884"/>
      <c r="K82" s="885"/>
    </row>
    <row r="83" spans="2:11" ht="30.95" customHeight="1">
      <c r="B83" s="2689"/>
      <c r="C83" s="2695" t="s">
        <v>84</v>
      </c>
      <c r="D83" s="2724" t="s">
        <v>561</v>
      </c>
      <c r="E83" s="2725"/>
      <c r="F83" s="2725"/>
      <c r="G83" s="2726"/>
      <c r="H83" s="2688" t="s">
        <v>51</v>
      </c>
      <c r="I83" s="2688"/>
      <c r="J83" s="884"/>
      <c r="K83" s="885"/>
    </row>
    <row r="84" spans="2:11" ht="30.95" customHeight="1">
      <c r="B84" s="2689"/>
      <c r="C84" s="2708"/>
      <c r="D84" s="2727"/>
      <c r="E84" s="2728"/>
      <c r="F84" s="2728"/>
      <c r="G84" s="2729"/>
      <c r="H84" s="2689"/>
      <c r="I84" s="2689"/>
      <c r="J84" s="884"/>
      <c r="K84" s="885"/>
    </row>
    <row r="85" spans="2:11" ht="30.95" customHeight="1">
      <c r="B85" s="2689"/>
      <c r="C85" s="2708"/>
      <c r="D85" s="2727"/>
      <c r="E85" s="2728"/>
      <c r="F85" s="2728"/>
      <c r="G85" s="2729"/>
      <c r="H85" s="2689"/>
      <c r="I85" s="2689"/>
      <c r="J85" s="884"/>
      <c r="K85" s="885"/>
    </row>
    <row r="86" spans="2:11" ht="30.95" customHeight="1">
      <c r="B86" s="2689"/>
      <c r="C86" s="2708"/>
      <c r="D86" s="2727"/>
      <c r="E86" s="2728"/>
      <c r="F86" s="2728"/>
      <c r="G86" s="2729"/>
      <c r="H86" s="2689"/>
      <c r="I86" s="2689"/>
      <c r="J86" s="884"/>
      <c r="K86" s="885"/>
    </row>
    <row r="87" spans="2:11" ht="40.5" customHeight="1">
      <c r="B87" s="2689"/>
      <c r="C87" s="2696"/>
      <c r="D87" s="2730"/>
      <c r="E87" s="2731"/>
      <c r="F87" s="2731"/>
      <c r="G87" s="2732"/>
      <c r="H87" s="2690"/>
      <c r="I87" s="2690"/>
      <c r="J87" s="884"/>
      <c r="K87" s="885"/>
    </row>
    <row r="88" spans="2:11" ht="30.95" customHeight="1">
      <c r="B88" s="2689"/>
      <c r="C88" s="2695" t="s">
        <v>85</v>
      </c>
      <c r="D88" s="2724" t="s">
        <v>295</v>
      </c>
      <c r="E88" s="2725"/>
      <c r="F88" s="2725"/>
      <c r="G88" s="2726"/>
      <c r="H88" s="2688" t="s">
        <v>296</v>
      </c>
      <c r="I88" s="2688"/>
      <c r="J88" s="884"/>
      <c r="K88" s="885"/>
    </row>
    <row r="89" spans="2:11" ht="30.95" customHeight="1">
      <c r="B89" s="2689"/>
      <c r="C89" s="2708"/>
      <c r="D89" s="2727"/>
      <c r="E89" s="2728"/>
      <c r="F89" s="2728"/>
      <c r="G89" s="2729"/>
      <c r="H89" s="2689"/>
      <c r="I89" s="2689"/>
      <c r="J89" s="884"/>
      <c r="K89" s="885"/>
    </row>
    <row r="90" spans="2:11" ht="30.95" customHeight="1">
      <c r="B90" s="2689"/>
      <c r="C90" s="2708"/>
      <c r="D90" s="2727"/>
      <c r="E90" s="2728"/>
      <c r="F90" s="2728"/>
      <c r="G90" s="2729"/>
      <c r="H90" s="2689"/>
      <c r="I90" s="2689"/>
      <c r="J90" s="884"/>
      <c r="K90" s="885"/>
    </row>
    <row r="91" spans="2:11" ht="30.95" customHeight="1">
      <c r="B91" s="2690"/>
      <c r="C91" s="2696"/>
      <c r="D91" s="2730"/>
      <c r="E91" s="2731"/>
      <c r="F91" s="2731"/>
      <c r="G91" s="2732"/>
      <c r="H91" s="2690"/>
      <c r="I91" s="2690"/>
      <c r="J91" s="884"/>
      <c r="K91" s="885"/>
    </row>
    <row r="92" spans="2:11" ht="30.95" customHeight="1">
      <c r="B92" s="2733" t="s">
        <v>529</v>
      </c>
      <c r="C92" s="636" t="s">
        <v>530</v>
      </c>
      <c r="D92" s="2709" t="s">
        <v>531</v>
      </c>
      <c r="E92" s="2709"/>
      <c r="F92" s="2709"/>
      <c r="G92" s="2710"/>
      <c r="H92" s="2693" t="s">
        <v>532</v>
      </c>
      <c r="I92" s="2693"/>
      <c r="J92" s="884"/>
      <c r="K92" s="885"/>
    </row>
    <row r="93" spans="2:11" ht="30.95" customHeight="1">
      <c r="B93" s="2734"/>
      <c r="C93" s="636" t="s">
        <v>721</v>
      </c>
      <c r="D93" s="2709" t="s">
        <v>722</v>
      </c>
      <c r="E93" s="2709"/>
      <c r="F93" s="2709"/>
      <c r="G93" s="2710"/>
      <c r="H93" s="2693"/>
      <c r="I93" s="2693"/>
      <c r="J93" s="884"/>
      <c r="K93" s="885"/>
    </row>
    <row r="94" spans="2:11" ht="30.95" customHeight="1">
      <c r="B94" s="2734"/>
      <c r="C94" s="636" t="s">
        <v>723</v>
      </c>
      <c r="D94" s="2709" t="s">
        <v>724</v>
      </c>
      <c r="E94" s="2709"/>
      <c r="F94" s="2709"/>
      <c r="G94" s="2710"/>
      <c r="H94" s="2693"/>
      <c r="I94" s="2693"/>
      <c r="J94" s="884"/>
      <c r="K94" s="885"/>
    </row>
    <row r="95" spans="2:11" ht="30.95" customHeight="1">
      <c r="B95" s="2734"/>
      <c r="C95" s="636" t="s">
        <v>725</v>
      </c>
      <c r="D95" s="2710" t="s">
        <v>359</v>
      </c>
      <c r="E95" s="2719"/>
      <c r="F95" s="2719"/>
      <c r="G95" s="2719"/>
      <c r="H95" s="2693" t="s">
        <v>800</v>
      </c>
      <c r="I95" s="2693"/>
      <c r="J95" s="884"/>
      <c r="K95" s="885"/>
    </row>
    <row r="96" spans="2:11" ht="30.95" customHeight="1">
      <c r="B96" s="2735"/>
      <c r="C96" s="636" t="s">
        <v>801</v>
      </c>
      <c r="D96" s="2710" t="s">
        <v>347</v>
      </c>
      <c r="E96" s="2719"/>
      <c r="F96" s="2719"/>
      <c r="G96" s="2719"/>
      <c r="H96" s="2693"/>
      <c r="I96" s="2693"/>
      <c r="J96" s="884"/>
      <c r="K96" s="885"/>
    </row>
    <row r="97" spans="2:11" ht="30.95" customHeight="1">
      <c r="B97" s="2688" t="s">
        <v>403</v>
      </c>
      <c r="C97" s="376" t="s">
        <v>86</v>
      </c>
      <c r="D97" s="2691" t="s">
        <v>404</v>
      </c>
      <c r="E97" s="2691"/>
      <c r="F97" s="2691"/>
      <c r="G97" s="2692"/>
      <c r="H97" s="2693" t="s">
        <v>405</v>
      </c>
      <c r="I97" s="2693"/>
      <c r="J97" s="884"/>
      <c r="K97" s="885"/>
    </row>
    <row r="98" spans="2:11" ht="30.95" customHeight="1">
      <c r="B98" s="2689"/>
      <c r="C98" s="376" t="s">
        <v>87</v>
      </c>
      <c r="D98" s="2691" t="s">
        <v>406</v>
      </c>
      <c r="E98" s="2691"/>
      <c r="F98" s="2691"/>
      <c r="G98" s="2692"/>
      <c r="H98" s="2693"/>
      <c r="I98" s="2693"/>
      <c r="J98" s="884"/>
      <c r="K98" s="885"/>
    </row>
    <row r="99" spans="2:11" ht="30.95" customHeight="1">
      <c r="B99" s="2689"/>
      <c r="C99" s="376" t="s">
        <v>88</v>
      </c>
      <c r="D99" s="2691" t="s">
        <v>407</v>
      </c>
      <c r="E99" s="2691"/>
      <c r="F99" s="2691"/>
      <c r="G99" s="2692"/>
      <c r="H99" s="2693"/>
      <c r="I99" s="2693"/>
      <c r="J99" s="884"/>
      <c r="K99" s="885"/>
    </row>
    <row r="100" spans="2:11" ht="30.95" customHeight="1">
      <c r="B100" s="2689"/>
      <c r="C100" s="712" t="s">
        <v>89</v>
      </c>
      <c r="D100" s="2706" t="s">
        <v>425</v>
      </c>
      <c r="E100" s="2706"/>
      <c r="F100" s="2706"/>
      <c r="G100" s="2707"/>
      <c r="H100" s="2693"/>
      <c r="I100" s="2693"/>
      <c r="J100" s="884"/>
      <c r="K100" s="885"/>
    </row>
    <row r="101" spans="2:11" ht="30.95" customHeight="1">
      <c r="B101" s="2689"/>
      <c r="C101" s="2695" t="s">
        <v>320</v>
      </c>
      <c r="D101" s="2699" t="s">
        <v>474</v>
      </c>
      <c r="E101" s="2700"/>
      <c r="F101" s="2700"/>
      <c r="G101" s="2701"/>
      <c r="H101" s="2697" t="s">
        <v>1003</v>
      </c>
      <c r="I101" s="2697"/>
      <c r="J101" s="884"/>
      <c r="K101" s="885"/>
    </row>
    <row r="102" spans="2:11" ht="30.95" customHeight="1">
      <c r="B102" s="2689"/>
      <c r="C102" s="2708"/>
      <c r="D102" s="2720"/>
      <c r="E102" s="2721"/>
      <c r="F102" s="2721"/>
      <c r="G102" s="2722"/>
      <c r="H102" s="2723"/>
      <c r="I102" s="2723"/>
      <c r="J102" s="884"/>
      <c r="K102" s="885"/>
    </row>
    <row r="103" spans="2:11" ht="30.95" customHeight="1">
      <c r="B103" s="2689"/>
      <c r="C103" s="2696"/>
      <c r="D103" s="2702"/>
      <c r="E103" s="2703"/>
      <c r="F103" s="2703"/>
      <c r="G103" s="2704"/>
      <c r="H103" s="2698"/>
      <c r="I103" s="2698"/>
      <c r="J103" s="884"/>
      <c r="K103" s="885"/>
    </row>
    <row r="104" spans="2:11" ht="30.95" customHeight="1">
      <c r="B104" s="2689"/>
      <c r="C104" s="2695" t="s">
        <v>321</v>
      </c>
      <c r="D104" s="2699" t="s">
        <v>482</v>
      </c>
      <c r="E104" s="2700"/>
      <c r="F104" s="2700"/>
      <c r="G104" s="2701"/>
      <c r="H104" s="2697" t="s">
        <v>181</v>
      </c>
      <c r="I104" s="2697"/>
      <c r="J104" s="884"/>
      <c r="K104" s="885"/>
    </row>
    <row r="105" spans="2:11" ht="30.95" customHeight="1">
      <c r="B105" s="2689"/>
      <c r="C105" s="2708"/>
      <c r="D105" s="2720"/>
      <c r="E105" s="2721"/>
      <c r="F105" s="2721"/>
      <c r="G105" s="2722"/>
      <c r="H105" s="2723"/>
      <c r="I105" s="2723"/>
      <c r="J105" s="884"/>
      <c r="K105" s="885"/>
    </row>
    <row r="106" spans="2:11" ht="30.95" customHeight="1">
      <c r="B106" s="2690"/>
      <c r="C106" s="2696"/>
      <c r="D106" s="2702"/>
      <c r="E106" s="2703"/>
      <c r="F106" s="2703"/>
      <c r="G106" s="2704"/>
      <c r="H106" s="2698"/>
      <c r="I106" s="2698"/>
      <c r="J106" s="884"/>
      <c r="K106" s="885"/>
    </row>
    <row r="107" spans="2:11" ht="30.95" customHeight="1">
      <c r="B107" s="2688" t="s">
        <v>128</v>
      </c>
      <c r="C107" s="636" t="s">
        <v>129</v>
      </c>
      <c r="D107" s="2709" t="s">
        <v>478</v>
      </c>
      <c r="E107" s="2709"/>
      <c r="F107" s="2709"/>
      <c r="G107" s="2710"/>
      <c r="H107" s="2693" t="s">
        <v>27</v>
      </c>
      <c r="I107" s="2693"/>
      <c r="J107" s="886" t="s">
        <v>533</v>
      </c>
      <c r="K107" s="885"/>
    </row>
    <row r="108" spans="2:11" ht="30.95" customHeight="1">
      <c r="B108" s="2689"/>
      <c r="C108" s="636" t="s">
        <v>28</v>
      </c>
      <c r="D108" s="2709" t="s">
        <v>56</v>
      </c>
      <c r="E108" s="2709"/>
      <c r="F108" s="2709"/>
      <c r="G108" s="2710"/>
      <c r="H108" s="2693"/>
      <c r="I108" s="2693"/>
      <c r="J108" s="886" t="s">
        <v>533</v>
      </c>
      <c r="K108" s="885"/>
    </row>
    <row r="109" spans="2:11" ht="30.95" customHeight="1">
      <c r="B109" s="2689"/>
      <c r="C109" s="636" t="s">
        <v>57</v>
      </c>
      <c r="D109" s="2709" t="s">
        <v>29</v>
      </c>
      <c r="E109" s="2709"/>
      <c r="F109" s="2709"/>
      <c r="G109" s="2710"/>
      <c r="H109" s="2693"/>
      <c r="I109" s="2693"/>
      <c r="J109" s="886" t="s">
        <v>533</v>
      </c>
      <c r="K109" s="885"/>
    </row>
    <row r="110" spans="2:11" ht="30.95" customHeight="1">
      <c r="B110" s="2689"/>
      <c r="C110" s="2711" t="s">
        <v>30</v>
      </c>
      <c r="D110" s="2713" t="s">
        <v>1009</v>
      </c>
      <c r="E110" s="2714"/>
      <c r="F110" s="2714"/>
      <c r="G110" s="2715"/>
      <c r="H110" s="2688" t="s">
        <v>31</v>
      </c>
      <c r="I110" s="2688"/>
      <c r="J110" s="886" t="s">
        <v>533</v>
      </c>
      <c r="K110" s="885"/>
    </row>
    <row r="111" spans="2:11" ht="30.95" customHeight="1">
      <c r="B111" s="2689"/>
      <c r="C111" s="2712"/>
      <c r="D111" s="2716"/>
      <c r="E111" s="2717"/>
      <c r="F111" s="2717"/>
      <c r="G111" s="2718"/>
      <c r="H111" s="2690"/>
      <c r="I111" s="2690"/>
      <c r="J111" s="886" t="s">
        <v>533</v>
      </c>
      <c r="K111" s="885"/>
    </row>
    <row r="112" spans="2:11" ht="30.95" customHeight="1">
      <c r="B112" s="2689"/>
      <c r="C112" s="2711" t="s">
        <v>32</v>
      </c>
      <c r="D112" s="2699" t="s">
        <v>1011</v>
      </c>
      <c r="E112" s="2700"/>
      <c r="F112" s="2700"/>
      <c r="G112" s="2701"/>
      <c r="H112" s="2697" t="s">
        <v>719</v>
      </c>
      <c r="I112" s="2697"/>
      <c r="J112" s="886" t="s">
        <v>533</v>
      </c>
      <c r="K112" s="885"/>
    </row>
    <row r="113" spans="2:11" ht="30.95" customHeight="1">
      <c r="B113" s="2689"/>
      <c r="C113" s="2712"/>
      <c r="D113" s="2702"/>
      <c r="E113" s="2703"/>
      <c r="F113" s="2703"/>
      <c r="G113" s="2704"/>
      <c r="H113" s="2698"/>
      <c r="I113" s="2698"/>
      <c r="J113" s="886" t="s">
        <v>533</v>
      </c>
      <c r="K113" s="885"/>
    </row>
    <row r="114" spans="2:11" ht="30.95" customHeight="1">
      <c r="B114" s="2689"/>
      <c r="C114" s="636" t="s">
        <v>33</v>
      </c>
      <c r="D114" s="2710" t="s">
        <v>34</v>
      </c>
      <c r="E114" s="2719"/>
      <c r="F114" s="2719"/>
      <c r="G114" s="2719"/>
      <c r="H114" s="2693" t="s">
        <v>35</v>
      </c>
      <c r="I114" s="2693"/>
      <c r="J114" s="886" t="s">
        <v>533</v>
      </c>
      <c r="K114" s="885"/>
    </row>
    <row r="115" spans="2:11" ht="30.95" customHeight="1">
      <c r="B115" s="2690"/>
      <c r="C115" s="636" t="s">
        <v>36</v>
      </c>
      <c r="D115" s="2710" t="s">
        <v>48</v>
      </c>
      <c r="E115" s="2719"/>
      <c r="F115" s="2719"/>
      <c r="G115" s="2719"/>
      <c r="H115" s="2693"/>
      <c r="I115" s="2693"/>
      <c r="J115" s="886" t="s">
        <v>533</v>
      </c>
      <c r="K115" s="885"/>
    </row>
    <row r="116" spans="2:11" ht="30.95" hidden="1" customHeight="1">
      <c r="B116" s="2688" t="s">
        <v>534</v>
      </c>
      <c r="C116" s="636" t="s">
        <v>129</v>
      </c>
      <c r="D116" s="2709" t="s">
        <v>535</v>
      </c>
      <c r="E116" s="2709"/>
      <c r="F116" s="2709"/>
      <c r="G116" s="2710"/>
      <c r="H116" s="2693" t="s">
        <v>217</v>
      </c>
      <c r="I116" s="2693"/>
      <c r="J116" s="887" t="s">
        <v>718</v>
      </c>
      <c r="K116" s="885"/>
    </row>
    <row r="117" spans="2:11" ht="30.95" hidden="1" customHeight="1">
      <c r="B117" s="2689"/>
      <c r="C117" s="636" t="s">
        <v>28</v>
      </c>
      <c r="D117" s="2709" t="s">
        <v>536</v>
      </c>
      <c r="E117" s="2709"/>
      <c r="F117" s="2709"/>
      <c r="G117" s="2710"/>
      <c r="H117" s="2693"/>
      <c r="I117" s="2693"/>
      <c r="J117" s="887" t="s">
        <v>718</v>
      </c>
      <c r="K117" s="885"/>
    </row>
    <row r="118" spans="2:11" ht="30.95" hidden="1" customHeight="1">
      <c r="B118" s="2689"/>
      <c r="C118" s="636" t="s">
        <v>57</v>
      </c>
      <c r="D118" s="2709" t="s">
        <v>537</v>
      </c>
      <c r="E118" s="2709"/>
      <c r="F118" s="2709"/>
      <c r="G118" s="2710"/>
      <c r="H118" s="2693"/>
      <c r="I118" s="2693"/>
      <c r="J118" s="887" t="s">
        <v>718</v>
      </c>
      <c r="K118" s="885"/>
    </row>
    <row r="119" spans="2:11" ht="30.95" hidden="1" customHeight="1">
      <c r="B119" s="2689"/>
      <c r="C119" s="2711" t="s">
        <v>30</v>
      </c>
      <c r="D119" s="2713" t="s">
        <v>1009</v>
      </c>
      <c r="E119" s="2714"/>
      <c r="F119" s="2714"/>
      <c r="G119" s="2715"/>
      <c r="H119" s="2688" t="s">
        <v>218</v>
      </c>
      <c r="I119" s="2688"/>
      <c r="J119" s="887" t="s">
        <v>718</v>
      </c>
      <c r="K119" s="885"/>
    </row>
    <row r="120" spans="2:11" ht="30.95" hidden="1" customHeight="1">
      <c r="B120" s="2689"/>
      <c r="C120" s="2712"/>
      <c r="D120" s="2716"/>
      <c r="E120" s="2717"/>
      <c r="F120" s="2717"/>
      <c r="G120" s="2718"/>
      <c r="H120" s="2690"/>
      <c r="I120" s="2690"/>
      <c r="J120" s="887" t="s">
        <v>718</v>
      </c>
      <c r="K120" s="885"/>
    </row>
    <row r="121" spans="2:11" ht="30.95" hidden="1" customHeight="1">
      <c r="B121" s="2689"/>
      <c r="C121" s="2711" t="s">
        <v>32</v>
      </c>
      <c r="D121" s="2699" t="s">
        <v>1011</v>
      </c>
      <c r="E121" s="2700"/>
      <c r="F121" s="2700"/>
      <c r="G121" s="2701"/>
      <c r="H121" s="2697" t="s">
        <v>719</v>
      </c>
      <c r="I121" s="2697"/>
      <c r="J121" s="887" t="s">
        <v>718</v>
      </c>
      <c r="K121" s="885"/>
    </row>
    <row r="122" spans="2:11" ht="30.95" hidden="1" customHeight="1">
      <c r="B122" s="2689"/>
      <c r="C122" s="2712"/>
      <c r="D122" s="2702"/>
      <c r="E122" s="2703"/>
      <c r="F122" s="2703"/>
      <c r="G122" s="2704"/>
      <c r="H122" s="2698"/>
      <c r="I122" s="2698"/>
      <c r="J122" s="887" t="s">
        <v>718</v>
      </c>
      <c r="K122" s="885"/>
    </row>
    <row r="123" spans="2:11" ht="30.95" hidden="1" customHeight="1">
      <c r="B123" s="2689"/>
      <c r="C123" s="636" t="s">
        <v>33</v>
      </c>
      <c r="D123" s="2710" t="s">
        <v>538</v>
      </c>
      <c r="E123" s="2719"/>
      <c r="F123" s="2719"/>
      <c r="G123" s="2719"/>
      <c r="H123" s="2693" t="s">
        <v>552</v>
      </c>
      <c r="I123" s="2693"/>
      <c r="J123" s="887" t="s">
        <v>718</v>
      </c>
      <c r="K123" s="885"/>
    </row>
    <row r="124" spans="2:11" ht="30.95" hidden="1" customHeight="1">
      <c r="B124" s="2690"/>
      <c r="C124" s="636" t="s">
        <v>36</v>
      </c>
      <c r="D124" s="2710" t="s">
        <v>216</v>
      </c>
      <c r="E124" s="2719"/>
      <c r="F124" s="2719"/>
      <c r="G124" s="2719"/>
      <c r="H124" s="2693"/>
      <c r="I124" s="2693"/>
      <c r="J124" s="887" t="s">
        <v>718</v>
      </c>
      <c r="K124" s="885"/>
    </row>
    <row r="125" spans="2:11" ht="30.95" customHeight="1">
      <c r="B125" s="2688" t="s">
        <v>720</v>
      </c>
      <c r="C125" s="376" t="s">
        <v>766</v>
      </c>
      <c r="D125" s="2691" t="s">
        <v>627</v>
      </c>
      <c r="E125" s="2691"/>
      <c r="F125" s="2691"/>
      <c r="G125" s="2692"/>
      <c r="H125" s="2693" t="s">
        <v>628</v>
      </c>
      <c r="I125" s="2693"/>
      <c r="J125" s="884"/>
      <c r="K125" s="885"/>
    </row>
    <row r="126" spans="2:11" ht="30.95" customHeight="1">
      <c r="B126" s="2689"/>
      <c r="C126" s="376" t="s">
        <v>767</v>
      </c>
      <c r="D126" s="2691" t="s">
        <v>629</v>
      </c>
      <c r="E126" s="2691"/>
      <c r="F126" s="2691"/>
      <c r="G126" s="2692"/>
      <c r="H126" s="2693"/>
      <c r="I126" s="2693"/>
      <c r="J126" s="884"/>
      <c r="K126" s="885"/>
    </row>
    <row r="127" spans="2:11" ht="30.95" customHeight="1">
      <c r="B127" s="2689"/>
      <c r="C127" s="376" t="s">
        <v>980</v>
      </c>
      <c r="D127" s="2691" t="s">
        <v>630</v>
      </c>
      <c r="E127" s="2691"/>
      <c r="F127" s="2691"/>
      <c r="G127" s="2692"/>
      <c r="H127" s="2693"/>
      <c r="I127" s="2693"/>
      <c r="J127" s="884"/>
      <c r="K127" s="885"/>
    </row>
    <row r="128" spans="2:11" ht="30.95" customHeight="1">
      <c r="B128" s="2689"/>
      <c r="C128" s="376" t="s">
        <v>981</v>
      </c>
      <c r="D128" s="2693" t="s">
        <v>1009</v>
      </c>
      <c r="E128" s="2693"/>
      <c r="F128" s="2693"/>
      <c r="G128" s="2694"/>
      <c r="H128" s="2693" t="s">
        <v>452</v>
      </c>
      <c r="I128" s="2693"/>
      <c r="J128" s="884"/>
      <c r="K128" s="885"/>
    </row>
    <row r="129" spans="2:11" ht="30.95" customHeight="1">
      <c r="B129" s="2689"/>
      <c r="C129" s="2695" t="s">
        <v>982</v>
      </c>
      <c r="D129" s="2699" t="s">
        <v>1011</v>
      </c>
      <c r="E129" s="2700"/>
      <c r="F129" s="2700"/>
      <c r="G129" s="2701"/>
      <c r="H129" s="2697" t="s">
        <v>1022</v>
      </c>
      <c r="I129" s="2697"/>
      <c r="J129" s="884"/>
      <c r="K129" s="885"/>
    </row>
    <row r="130" spans="2:11" ht="30.95" customHeight="1">
      <c r="B130" s="2689"/>
      <c r="C130" s="2696"/>
      <c r="D130" s="2702"/>
      <c r="E130" s="2703"/>
      <c r="F130" s="2703"/>
      <c r="G130" s="2704"/>
      <c r="H130" s="2698"/>
      <c r="I130" s="2698"/>
      <c r="J130" s="884"/>
      <c r="K130" s="885"/>
    </row>
    <row r="131" spans="2:11" ht="30.95" customHeight="1">
      <c r="B131" s="2689"/>
      <c r="C131" s="376" t="s">
        <v>983</v>
      </c>
      <c r="D131" s="2692" t="s">
        <v>1023</v>
      </c>
      <c r="E131" s="2705"/>
      <c r="F131" s="2705"/>
      <c r="G131" s="2705"/>
      <c r="H131" s="2693" t="s">
        <v>552</v>
      </c>
      <c r="I131" s="2693"/>
      <c r="J131" s="884"/>
      <c r="K131" s="885"/>
    </row>
    <row r="132" spans="2:11" ht="30.95" customHeight="1">
      <c r="B132" s="2690"/>
      <c r="C132" s="376" t="s">
        <v>984</v>
      </c>
      <c r="D132" s="2692" t="s">
        <v>698</v>
      </c>
      <c r="E132" s="2705"/>
      <c r="F132" s="2705"/>
      <c r="G132" s="2705"/>
      <c r="H132" s="2693"/>
      <c r="I132" s="2693"/>
      <c r="J132" s="884"/>
      <c r="K132" s="885"/>
    </row>
    <row r="133" spans="2:11" ht="30.95" customHeight="1">
      <c r="B133" s="2688" t="s">
        <v>699</v>
      </c>
      <c r="C133" s="2695" t="s">
        <v>985</v>
      </c>
      <c r="D133" s="2724" t="s">
        <v>700</v>
      </c>
      <c r="E133" s="2725"/>
      <c r="F133" s="2725"/>
      <c r="G133" s="2726"/>
      <c r="H133" s="2688" t="s">
        <v>976</v>
      </c>
      <c r="I133" s="2688"/>
      <c r="J133" s="884"/>
      <c r="K133" s="885"/>
    </row>
    <row r="134" spans="2:11" ht="30.95" customHeight="1">
      <c r="B134" s="2689"/>
      <c r="C134" s="2708"/>
      <c r="D134" s="2727"/>
      <c r="E134" s="2728"/>
      <c r="F134" s="2728"/>
      <c r="G134" s="2729"/>
      <c r="H134" s="2689"/>
      <c r="I134" s="2689"/>
      <c r="J134" s="884"/>
      <c r="K134" s="885"/>
    </row>
    <row r="135" spans="2:11" ht="30.95" customHeight="1">
      <c r="B135" s="2689"/>
      <c r="C135" s="2696"/>
      <c r="D135" s="2730"/>
      <c r="E135" s="2731"/>
      <c r="F135" s="2731"/>
      <c r="G135" s="2732"/>
      <c r="H135" s="2690"/>
      <c r="I135" s="2690"/>
      <c r="J135" s="884"/>
      <c r="K135" s="885"/>
    </row>
    <row r="136" spans="2:11" ht="30.95" customHeight="1">
      <c r="B136" s="2689"/>
      <c r="C136" s="186" t="s">
        <v>70</v>
      </c>
      <c r="D136" s="2692" t="s">
        <v>701</v>
      </c>
      <c r="E136" s="2705"/>
      <c r="F136" s="2705"/>
      <c r="G136" s="2705"/>
      <c r="H136" s="2693" t="s">
        <v>1</v>
      </c>
      <c r="I136" s="2693"/>
      <c r="J136" s="884"/>
      <c r="K136" s="885"/>
    </row>
    <row r="137" spans="2:11" ht="30.95" customHeight="1">
      <c r="B137" s="2689"/>
      <c r="C137" s="186" t="s">
        <v>71</v>
      </c>
      <c r="D137" s="2692" t="s">
        <v>823</v>
      </c>
      <c r="E137" s="2705"/>
      <c r="F137" s="2705"/>
      <c r="G137" s="2705"/>
      <c r="H137" s="2693" t="s">
        <v>817</v>
      </c>
      <c r="I137" s="2693"/>
      <c r="J137" s="884"/>
      <c r="K137" s="885"/>
    </row>
    <row r="138" spans="2:11" ht="30.95" customHeight="1">
      <c r="B138" s="2689"/>
      <c r="C138" s="2765" t="s">
        <v>72</v>
      </c>
      <c r="D138" s="2693" t="s">
        <v>818</v>
      </c>
      <c r="E138" s="2693"/>
      <c r="F138" s="2693"/>
      <c r="G138" s="2693"/>
      <c r="H138" s="2693" t="s">
        <v>819</v>
      </c>
      <c r="I138" s="2693"/>
      <c r="J138" s="884"/>
      <c r="K138" s="885"/>
    </row>
    <row r="139" spans="2:11" ht="30.95" customHeight="1">
      <c r="B139" s="2690"/>
      <c r="C139" s="2679"/>
      <c r="D139" s="2693"/>
      <c r="E139" s="2693"/>
      <c r="F139" s="2693"/>
      <c r="G139" s="2693"/>
      <c r="H139" s="2693"/>
      <c r="I139" s="2693"/>
      <c r="J139" s="884"/>
      <c r="K139" s="885"/>
    </row>
    <row r="140" spans="2:11" ht="30.75" customHeight="1">
      <c r="B140" s="2764" t="s">
        <v>967</v>
      </c>
      <c r="C140" s="2765" t="s">
        <v>73</v>
      </c>
      <c r="D140" s="2764" t="s">
        <v>481</v>
      </c>
      <c r="E140" s="2764"/>
      <c r="F140" s="2764"/>
      <c r="G140" s="2764"/>
      <c r="H140" s="2763" t="s">
        <v>211</v>
      </c>
      <c r="I140" s="2763"/>
      <c r="J140" s="884"/>
      <c r="K140" s="885"/>
    </row>
    <row r="141" spans="2:11" ht="30.75" customHeight="1">
      <c r="B141" s="2764"/>
      <c r="C141" s="2679"/>
      <c r="D141" s="2764"/>
      <c r="E141" s="2764"/>
      <c r="F141" s="2764"/>
      <c r="G141" s="2764"/>
      <c r="H141" s="2763"/>
      <c r="I141" s="2763"/>
      <c r="J141" s="884"/>
      <c r="K141" s="885"/>
    </row>
    <row r="142" spans="2:11" ht="30.75" customHeight="1">
      <c r="B142" s="2764"/>
      <c r="C142" s="2679"/>
      <c r="D142" s="2764"/>
      <c r="E142" s="2764"/>
      <c r="F142" s="2764"/>
      <c r="G142" s="2764"/>
      <c r="H142" s="2763"/>
      <c r="I142" s="2763"/>
      <c r="J142" s="884"/>
      <c r="K142" s="885"/>
    </row>
    <row r="143" spans="2:11" ht="30.75" customHeight="1">
      <c r="B143" s="2764"/>
      <c r="C143" s="2765" t="s">
        <v>74</v>
      </c>
      <c r="D143" s="2764" t="s">
        <v>275</v>
      </c>
      <c r="E143" s="2764"/>
      <c r="F143" s="2764"/>
      <c r="G143" s="2764"/>
      <c r="H143" s="2739" t="s">
        <v>210</v>
      </c>
      <c r="I143" s="2739"/>
      <c r="J143" s="884"/>
      <c r="K143" s="885"/>
    </row>
    <row r="144" spans="2:11" ht="30.75" customHeight="1">
      <c r="B144" s="2764"/>
      <c r="C144" s="2679"/>
      <c r="D144" s="2764"/>
      <c r="E144" s="2764"/>
      <c r="F144" s="2764"/>
      <c r="G144" s="2764"/>
      <c r="H144" s="2739"/>
      <c r="I144" s="2739"/>
      <c r="J144" s="884"/>
      <c r="K144" s="885"/>
    </row>
    <row r="145" spans="2:11" ht="30.75" customHeight="1">
      <c r="B145" s="2764"/>
      <c r="C145" s="2679"/>
      <c r="D145" s="2764"/>
      <c r="E145" s="2764"/>
      <c r="F145" s="2764"/>
      <c r="G145" s="2764"/>
      <c r="H145" s="2739"/>
      <c r="I145" s="2739"/>
      <c r="J145" s="884"/>
      <c r="K145" s="885"/>
    </row>
    <row r="146" spans="2:11" ht="231.75" customHeight="1">
      <c r="B146" s="617" t="s">
        <v>291</v>
      </c>
      <c r="C146" s="636" t="s">
        <v>49</v>
      </c>
      <c r="D146" s="2710" t="s">
        <v>442</v>
      </c>
      <c r="E146" s="2719"/>
      <c r="F146" s="2719"/>
      <c r="G146" s="2719"/>
      <c r="H146" s="2693" t="s">
        <v>764</v>
      </c>
      <c r="I146" s="2693"/>
      <c r="J146" s="888"/>
      <c r="K146" s="885"/>
    </row>
    <row r="147" spans="2:11" ht="49.5" customHeight="1">
      <c r="B147" s="379" t="s">
        <v>970</v>
      </c>
      <c r="C147" s="376" t="s">
        <v>1015</v>
      </c>
      <c r="D147" s="2694" t="s">
        <v>972</v>
      </c>
      <c r="E147" s="2766"/>
      <c r="F147" s="2766"/>
      <c r="G147" s="2767"/>
      <c r="H147" s="2693" t="s">
        <v>971</v>
      </c>
      <c r="I147" s="2693"/>
      <c r="J147" s="884"/>
      <c r="K147" s="885"/>
    </row>
  </sheetData>
  <sheetProtection algorithmName="SHA-512" hashValue="28R+h0EmWut9arbP3zUpgvoqoefVz4kFAaG+k39+nV+2a/L/L0Q2s8+LzZLSsRjIcy1A/ToEsAEMTwDAxs/FAA==" saltValue="xpfFwEUZlBnejZ8+TpK1pA==" spinCount="100000" sheet="1" objects="1" scenarios="1"/>
  <mergeCells count="209">
    <mergeCell ref="D147:G147"/>
    <mergeCell ref="H147:I147"/>
    <mergeCell ref="H121:I122"/>
    <mergeCell ref="D123:G123"/>
    <mergeCell ref="H123:I124"/>
    <mergeCell ref="D124:G124"/>
    <mergeCell ref="D146:G146"/>
    <mergeCell ref="H146:I146"/>
    <mergeCell ref="D133:G135"/>
    <mergeCell ref="D131:G131"/>
    <mergeCell ref="B116:B124"/>
    <mergeCell ref="D116:G116"/>
    <mergeCell ref="H116:I118"/>
    <mergeCell ref="D117:G117"/>
    <mergeCell ref="D118:G118"/>
    <mergeCell ref="C119:C120"/>
    <mergeCell ref="D119:G120"/>
    <mergeCell ref="H119:I120"/>
    <mergeCell ref="C121:C122"/>
    <mergeCell ref="D121:G122"/>
    <mergeCell ref="D26:G26"/>
    <mergeCell ref="H26:I26"/>
    <mergeCell ref="H7:I7"/>
    <mergeCell ref="H8:I10"/>
    <mergeCell ref="D9:G9"/>
    <mergeCell ref="D10:G10"/>
    <mergeCell ref="H11:I11"/>
    <mergeCell ref="B133:B139"/>
    <mergeCell ref="H143:I145"/>
    <mergeCell ref="H140:I142"/>
    <mergeCell ref="D140:G142"/>
    <mergeCell ref="D143:G145"/>
    <mergeCell ref="C133:C135"/>
    <mergeCell ref="C143:C145"/>
    <mergeCell ref="B140:B145"/>
    <mergeCell ref="C140:C142"/>
    <mergeCell ref="H133:I135"/>
    <mergeCell ref="C138:C139"/>
    <mergeCell ref="D138:G139"/>
    <mergeCell ref="H138:I139"/>
    <mergeCell ref="D136:G136"/>
    <mergeCell ref="H136:I136"/>
    <mergeCell ref="D137:G137"/>
    <mergeCell ref="H137:I137"/>
    <mergeCell ref="B8:B11"/>
    <mergeCell ref="D8:G8"/>
    <mergeCell ref="B1:I1"/>
    <mergeCell ref="B4:B7"/>
    <mergeCell ref="D4:G4"/>
    <mergeCell ref="H4:I6"/>
    <mergeCell ref="D5:G5"/>
    <mergeCell ref="D6:G6"/>
    <mergeCell ref="D7:G7"/>
    <mergeCell ref="D3:G3"/>
    <mergeCell ref="H3:I3"/>
    <mergeCell ref="B12:B18"/>
    <mergeCell ref="D12:G12"/>
    <mergeCell ref="H12:I16"/>
    <mergeCell ref="D13:G13"/>
    <mergeCell ref="D14:G14"/>
    <mergeCell ref="D15:G15"/>
    <mergeCell ref="D17:G17"/>
    <mergeCell ref="H17:I18"/>
    <mergeCell ref="D18:G18"/>
    <mergeCell ref="D16:G16"/>
    <mergeCell ref="B19:B25"/>
    <mergeCell ref="D19:G19"/>
    <mergeCell ref="H19:I23"/>
    <mergeCell ref="D20:G20"/>
    <mergeCell ref="D21:G21"/>
    <mergeCell ref="D22:G22"/>
    <mergeCell ref="D23:G23"/>
    <mergeCell ref="D24:G24"/>
    <mergeCell ref="H24:I25"/>
    <mergeCell ref="D25:G25"/>
    <mergeCell ref="H38:I42"/>
    <mergeCell ref="D39:G39"/>
    <mergeCell ref="D40:G40"/>
    <mergeCell ref="D41:G41"/>
    <mergeCell ref="D42:G42"/>
    <mergeCell ref="B38:B44"/>
    <mergeCell ref="D38:G38"/>
    <mergeCell ref="B27:B37"/>
    <mergeCell ref="D27:G27"/>
    <mergeCell ref="H27:I31"/>
    <mergeCell ref="D28:G28"/>
    <mergeCell ref="D29:G29"/>
    <mergeCell ref="D30:G30"/>
    <mergeCell ref="D31:G31"/>
    <mergeCell ref="C32:C34"/>
    <mergeCell ref="D32:G34"/>
    <mergeCell ref="H32:I34"/>
    <mergeCell ref="C35:C37"/>
    <mergeCell ref="D35:G37"/>
    <mergeCell ref="H35:I37"/>
    <mergeCell ref="D48:G48"/>
    <mergeCell ref="B47:B53"/>
    <mergeCell ref="D47:G47"/>
    <mergeCell ref="D52:G52"/>
    <mergeCell ref="D44:G44"/>
    <mergeCell ref="D49:G49"/>
    <mergeCell ref="D50:G50"/>
    <mergeCell ref="H52:I53"/>
    <mergeCell ref="D45:G45"/>
    <mergeCell ref="H45:I45"/>
    <mergeCell ref="D46:G46"/>
    <mergeCell ref="H46:I46"/>
    <mergeCell ref="H47:I51"/>
    <mergeCell ref="D51:G51"/>
    <mergeCell ref="D53:G53"/>
    <mergeCell ref="H43:I44"/>
    <mergeCell ref="D43:G43"/>
    <mergeCell ref="H57:I58"/>
    <mergeCell ref="D58:G58"/>
    <mergeCell ref="H54:I56"/>
    <mergeCell ref="B66:B70"/>
    <mergeCell ref="D66:G66"/>
    <mergeCell ref="H59:I63"/>
    <mergeCell ref="D60:G60"/>
    <mergeCell ref="D61:G61"/>
    <mergeCell ref="D62:G62"/>
    <mergeCell ref="D63:G63"/>
    <mergeCell ref="B59:B65"/>
    <mergeCell ref="D59:G59"/>
    <mergeCell ref="D64:G64"/>
    <mergeCell ref="D57:G57"/>
    <mergeCell ref="B54:B58"/>
    <mergeCell ref="D54:G54"/>
    <mergeCell ref="D55:G55"/>
    <mergeCell ref="D56:G56"/>
    <mergeCell ref="H64:I65"/>
    <mergeCell ref="D65:G65"/>
    <mergeCell ref="H69:I70"/>
    <mergeCell ref="D70:G70"/>
    <mergeCell ref="H66:I68"/>
    <mergeCell ref="D67:G67"/>
    <mergeCell ref="D68:G68"/>
    <mergeCell ref="D69:G69"/>
    <mergeCell ref="B71:B77"/>
    <mergeCell ref="D71:G71"/>
    <mergeCell ref="H71:I73"/>
    <mergeCell ref="D72:G72"/>
    <mergeCell ref="D73:G73"/>
    <mergeCell ref="D74:G74"/>
    <mergeCell ref="H74:I74"/>
    <mergeCell ref="D75:G75"/>
    <mergeCell ref="H75:I75"/>
    <mergeCell ref="D76:G76"/>
    <mergeCell ref="H76:I77"/>
    <mergeCell ref="D77:G77"/>
    <mergeCell ref="C88:C91"/>
    <mergeCell ref="D88:G91"/>
    <mergeCell ref="H88:I91"/>
    <mergeCell ref="C104:C106"/>
    <mergeCell ref="D104:G106"/>
    <mergeCell ref="H104:I106"/>
    <mergeCell ref="D82:G82"/>
    <mergeCell ref="B78:B91"/>
    <mergeCell ref="D78:G78"/>
    <mergeCell ref="H78:I82"/>
    <mergeCell ref="D79:G79"/>
    <mergeCell ref="D80:G80"/>
    <mergeCell ref="D81:G81"/>
    <mergeCell ref="C83:C87"/>
    <mergeCell ref="B92:B96"/>
    <mergeCell ref="D92:G92"/>
    <mergeCell ref="H92:I94"/>
    <mergeCell ref="D93:G93"/>
    <mergeCell ref="D94:G94"/>
    <mergeCell ref="D95:G95"/>
    <mergeCell ref="H95:I96"/>
    <mergeCell ref="D83:G87"/>
    <mergeCell ref="H83:I87"/>
    <mergeCell ref="D96:G96"/>
    <mergeCell ref="B97:B106"/>
    <mergeCell ref="D97:G97"/>
    <mergeCell ref="H97:I100"/>
    <mergeCell ref="D98:G98"/>
    <mergeCell ref="D99:G99"/>
    <mergeCell ref="D100:G100"/>
    <mergeCell ref="C101:C103"/>
    <mergeCell ref="B107:B115"/>
    <mergeCell ref="D107:G107"/>
    <mergeCell ref="H107:I109"/>
    <mergeCell ref="D108:G108"/>
    <mergeCell ref="D109:G109"/>
    <mergeCell ref="H112:I113"/>
    <mergeCell ref="C110:C111"/>
    <mergeCell ref="D110:G111"/>
    <mergeCell ref="D114:G114"/>
    <mergeCell ref="H114:I115"/>
    <mergeCell ref="D101:G103"/>
    <mergeCell ref="H101:I103"/>
    <mergeCell ref="D115:G115"/>
    <mergeCell ref="D112:G113"/>
    <mergeCell ref="H110:I111"/>
    <mergeCell ref="C112:C113"/>
    <mergeCell ref="B125:B132"/>
    <mergeCell ref="D125:G125"/>
    <mergeCell ref="H125:I127"/>
    <mergeCell ref="D126:G126"/>
    <mergeCell ref="D127:G127"/>
    <mergeCell ref="D128:G128"/>
    <mergeCell ref="C129:C130"/>
    <mergeCell ref="H128:I128"/>
    <mergeCell ref="H129:I130"/>
    <mergeCell ref="D129:G130"/>
    <mergeCell ref="H131:I132"/>
    <mergeCell ref="D132:G132"/>
  </mergeCells>
  <phoneticPr fontId="5"/>
  <pageMargins left="0.75" right="0.75" top="0.69" bottom="0.63" header="0.51200000000000001" footer="0.51200000000000001"/>
  <pageSetup paperSize="8" scale="80" orientation="portrait" r:id="rId1"/>
  <headerFooter alignWithMargins="0">
    <oddHeader>&amp;L&amp;A</oddHeader>
    <oddFooter>&amp;C&amp;P/&amp;N</oddFooter>
  </headerFooter>
  <rowBreaks count="3" manualBreakCount="3">
    <brk id="37" min="1" max="8" man="1"/>
    <brk id="70" min="1" max="8" man="1"/>
    <brk id="106" min="1" max="8" man="1"/>
  </rowBreaks>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D9E0-8220-42C0-B077-B06D4C660031}">
  <sheetPr>
    <pageSetUpPr fitToPage="1"/>
  </sheetPr>
  <dimension ref="B3:H18"/>
  <sheetViews>
    <sheetView showGridLines="0" zoomScale="80" zoomScaleNormal="80" workbookViewId="0">
      <selection activeCell="D7" sqref="D7"/>
    </sheetView>
  </sheetViews>
  <sheetFormatPr defaultRowHeight="13.5"/>
  <cols>
    <col min="1" max="2" width="3.875" style="2245" customWidth="1"/>
    <col min="3" max="3" width="10" style="2242" bestFit="1" customWidth="1"/>
    <col min="4" max="4" width="27" style="2245" bestFit="1" customWidth="1"/>
    <col min="5" max="5" width="77.625" style="2245" customWidth="1"/>
    <col min="6" max="7" width="15.625" style="2245" customWidth="1"/>
    <col min="8" max="8" width="24.875" style="2245" bestFit="1" customWidth="1"/>
    <col min="9" max="16384" width="9" style="2245"/>
  </cols>
  <sheetData>
    <row r="3" spans="2:8" s="2242" customFormat="1" ht="30" customHeight="1">
      <c r="B3" s="2240"/>
      <c r="C3" s="2241" t="s">
        <v>5737</v>
      </c>
      <c r="D3" s="2241" t="s">
        <v>5738</v>
      </c>
      <c r="E3" s="2241" t="s">
        <v>5739</v>
      </c>
      <c r="F3" s="2241" t="s">
        <v>5740</v>
      </c>
      <c r="G3" s="2241" t="s">
        <v>5741</v>
      </c>
      <c r="H3" s="2241" t="s">
        <v>5742</v>
      </c>
    </row>
    <row r="4" spans="2:8" ht="20.100000000000001" customHeight="1">
      <c r="B4" s="2243">
        <v>1</v>
      </c>
      <c r="C4" s="2240" t="s">
        <v>5743</v>
      </c>
      <c r="D4" s="2243" t="s">
        <v>5744</v>
      </c>
      <c r="E4" s="2243" t="s">
        <v>5734</v>
      </c>
      <c r="F4" s="2244" t="s">
        <v>5745</v>
      </c>
      <c r="G4" s="2244">
        <v>71</v>
      </c>
      <c r="H4" s="2243" t="s">
        <v>5746</v>
      </c>
    </row>
    <row r="5" spans="2:8" ht="19.5" customHeight="1">
      <c r="B5" s="2243">
        <v>2</v>
      </c>
      <c r="C5" s="2240" t="s">
        <v>5743</v>
      </c>
      <c r="D5" s="2243" t="s">
        <v>5744</v>
      </c>
      <c r="E5" s="2243" t="s">
        <v>5747</v>
      </c>
      <c r="F5" s="2244" t="s">
        <v>643</v>
      </c>
      <c r="G5" s="2244">
        <v>130</v>
      </c>
      <c r="H5" s="2243" t="s">
        <v>5748</v>
      </c>
    </row>
    <row r="6" spans="2:8" ht="20.100000000000001" customHeight="1">
      <c r="B6" s="2243">
        <v>3</v>
      </c>
      <c r="C6" s="2240" t="s">
        <v>5743</v>
      </c>
      <c r="D6" s="2243" t="s">
        <v>5749</v>
      </c>
      <c r="E6" s="2243" t="s">
        <v>5750</v>
      </c>
      <c r="F6" s="2244" t="s">
        <v>5751</v>
      </c>
      <c r="G6" s="2244" t="s">
        <v>5752</v>
      </c>
      <c r="H6" s="2243" t="s">
        <v>5753</v>
      </c>
    </row>
    <row r="7" spans="2:8" ht="19.5" customHeight="1">
      <c r="B7" s="2243">
        <v>4</v>
      </c>
      <c r="C7" s="2240"/>
      <c r="D7" s="2243"/>
      <c r="E7" s="2243"/>
      <c r="F7" s="2244"/>
      <c r="G7" s="2244"/>
      <c r="H7" s="2243"/>
    </row>
    <row r="8" spans="2:8" ht="20.100000000000001" customHeight="1">
      <c r="B8" s="2243">
        <v>5</v>
      </c>
      <c r="C8" s="2240"/>
      <c r="D8" s="2243"/>
      <c r="E8" s="2243"/>
      <c r="F8" s="2244"/>
      <c r="G8" s="2244"/>
      <c r="H8" s="2243"/>
    </row>
    <row r="9" spans="2:8" ht="19.5" customHeight="1">
      <c r="B9" s="2243">
        <v>6</v>
      </c>
      <c r="C9" s="2240"/>
      <c r="D9" s="2243"/>
      <c r="E9" s="2243"/>
      <c r="F9" s="2244"/>
      <c r="G9" s="2244"/>
      <c r="H9" s="2243"/>
    </row>
    <row r="10" spans="2:8" ht="20.100000000000001" customHeight="1">
      <c r="B10" s="2243">
        <v>7</v>
      </c>
      <c r="C10" s="2240"/>
      <c r="D10" s="2243"/>
      <c r="E10" s="2243"/>
      <c r="F10" s="2244"/>
      <c r="G10" s="2244"/>
      <c r="H10" s="2243"/>
    </row>
    <row r="11" spans="2:8" ht="19.5" customHeight="1">
      <c r="B11" s="2243">
        <v>8</v>
      </c>
      <c r="C11" s="2240"/>
      <c r="D11" s="2243"/>
      <c r="E11" s="2243"/>
      <c r="F11" s="2244"/>
      <c r="G11" s="2244"/>
      <c r="H11" s="2243"/>
    </row>
    <row r="12" spans="2:8" ht="20.100000000000001" customHeight="1">
      <c r="B12" s="2243">
        <v>9</v>
      </c>
      <c r="C12" s="2240"/>
      <c r="D12" s="2243"/>
      <c r="E12" s="2243"/>
      <c r="F12" s="2244"/>
      <c r="G12" s="2244"/>
      <c r="H12" s="2243"/>
    </row>
    <row r="13" spans="2:8" ht="19.5" customHeight="1">
      <c r="B13" s="2243">
        <v>10</v>
      </c>
      <c r="C13" s="2240"/>
      <c r="D13" s="2243"/>
      <c r="E13" s="2243"/>
      <c r="F13" s="2244"/>
      <c r="G13" s="2244"/>
      <c r="H13" s="2243"/>
    </row>
    <row r="14" spans="2:8" ht="20.100000000000001" customHeight="1">
      <c r="B14" s="2243">
        <v>11</v>
      </c>
      <c r="C14" s="2240"/>
      <c r="D14" s="2243"/>
      <c r="E14" s="2243"/>
      <c r="F14" s="2244"/>
      <c r="G14" s="2244"/>
      <c r="H14" s="2243"/>
    </row>
    <row r="15" spans="2:8" ht="20.100000000000001" customHeight="1">
      <c r="B15" s="2243">
        <v>12</v>
      </c>
      <c r="C15" s="2240"/>
      <c r="D15" s="2243"/>
      <c r="E15" s="2243"/>
      <c r="F15" s="2244"/>
      <c r="G15" s="2244"/>
      <c r="H15" s="2243"/>
    </row>
    <row r="16" spans="2:8" ht="19.5" customHeight="1">
      <c r="B16" s="2243">
        <v>13</v>
      </c>
      <c r="C16" s="2240"/>
      <c r="D16" s="2243"/>
      <c r="E16" s="2243"/>
      <c r="F16" s="2244"/>
      <c r="G16" s="2244"/>
      <c r="H16" s="2243"/>
    </row>
    <row r="17" spans="2:8" ht="20.100000000000001" customHeight="1">
      <c r="B17" s="2243">
        <v>14</v>
      </c>
      <c r="C17" s="2240"/>
      <c r="D17" s="2243"/>
      <c r="E17" s="2243"/>
      <c r="F17" s="2244"/>
      <c r="G17" s="2244"/>
      <c r="H17" s="2243"/>
    </row>
    <row r="18" spans="2:8" ht="20.100000000000001" customHeight="1">
      <c r="B18" s="2243">
        <v>15</v>
      </c>
      <c r="C18" s="2240"/>
      <c r="D18" s="2243"/>
      <c r="E18" s="2243"/>
      <c r="F18" s="2244"/>
      <c r="G18" s="2244"/>
      <c r="H18" s="2243"/>
    </row>
  </sheetData>
  <autoFilter ref="D3:H5" xr:uid="{DF63E593-20FB-4F58-A68D-231F038AE044}"/>
  <phoneticPr fontId="5"/>
  <printOptions horizontalCentered="1"/>
  <pageMargins left="0.70866141732283472" right="0.70866141732283472" top="0.74803149606299213" bottom="0.74803149606299213" header="0.31496062992125984" footer="0.31496062992125984"/>
  <pageSetup paperSize="9" scale="4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0" tint="-0.249977111117893"/>
  </sheetPr>
  <dimension ref="A1:W850"/>
  <sheetViews>
    <sheetView view="pageBreakPreview" topLeftCell="A127" zoomScaleNormal="85" zoomScaleSheetLayoutView="100" workbookViewId="0">
      <selection activeCell="B195" sqref="B195"/>
    </sheetView>
  </sheetViews>
  <sheetFormatPr defaultRowHeight="13.5"/>
  <cols>
    <col min="1" max="1" width="35.125" style="880" customWidth="1"/>
    <col min="2" max="2" width="29.5" style="880" customWidth="1"/>
    <col min="3" max="3" width="22.75" style="880" customWidth="1"/>
    <col min="4" max="16384" width="9" style="881"/>
  </cols>
  <sheetData>
    <row r="1" spans="1:19" ht="14.25">
      <c r="A1" s="856" t="s">
        <v>977</v>
      </c>
      <c r="B1" s="867"/>
      <c r="C1" s="867"/>
      <c r="D1" s="874"/>
      <c r="E1" s="874"/>
      <c r="F1" s="874"/>
      <c r="G1" s="874"/>
      <c r="H1" s="874"/>
      <c r="I1" s="874"/>
      <c r="J1" s="874"/>
      <c r="K1" s="874"/>
      <c r="L1" s="874"/>
      <c r="M1" s="874"/>
      <c r="N1" s="874"/>
      <c r="O1" s="874"/>
      <c r="P1" s="874"/>
      <c r="Q1" s="874"/>
      <c r="R1" s="874"/>
      <c r="S1" s="874"/>
    </row>
    <row r="2" spans="1:19">
      <c r="A2" s="857"/>
      <c r="B2" s="857"/>
      <c r="C2" s="857"/>
      <c r="D2" s="874"/>
      <c r="E2" s="874"/>
      <c r="F2" s="874"/>
      <c r="G2" s="874"/>
      <c r="H2" s="874"/>
      <c r="I2" s="874"/>
      <c r="J2" s="874"/>
      <c r="K2" s="874"/>
      <c r="L2" s="874"/>
      <c r="M2" s="874"/>
      <c r="N2" s="874"/>
      <c r="O2" s="874"/>
      <c r="P2" s="874"/>
      <c r="Q2" s="874"/>
      <c r="R2" s="874"/>
      <c r="S2" s="874"/>
    </row>
    <row r="3" spans="1:19">
      <c r="A3" s="868" t="s">
        <v>649</v>
      </c>
      <c r="B3" s="866"/>
      <c r="C3" s="866"/>
      <c r="D3" s="874"/>
      <c r="E3" s="858"/>
      <c r="F3" s="874"/>
      <c r="G3" s="874"/>
      <c r="H3" s="874"/>
      <c r="I3" s="874"/>
      <c r="J3" s="874"/>
      <c r="K3" s="874"/>
      <c r="L3" s="874"/>
      <c r="M3" s="874"/>
      <c r="N3" s="874"/>
      <c r="O3" s="874"/>
      <c r="P3" s="874"/>
      <c r="Q3" s="874"/>
      <c r="R3" s="874"/>
      <c r="S3" s="874"/>
    </row>
    <row r="4" spans="1:19">
      <c r="A4" s="863"/>
      <c r="B4" s="857"/>
      <c r="C4" s="857"/>
      <c r="D4" s="874"/>
      <c r="E4" s="858"/>
      <c r="F4" s="874"/>
      <c r="G4" s="874"/>
      <c r="H4" s="874"/>
      <c r="I4" s="874"/>
      <c r="J4" s="874"/>
      <c r="K4" s="874"/>
      <c r="L4" s="874"/>
      <c r="M4" s="874"/>
      <c r="N4" s="874"/>
      <c r="O4" s="874"/>
      <c r="P4" s="874"/>
      <c r="Q4" s="874"/>
      <c r="R4" s="874"/>
      <c r="S4" s="874"/>
    </row>
    <row r="5" spans="1:19">
      <c r="A5" s="869" t="s">
        <v>2035</v>
      </c>
      <c r="B5" s="857"/>
      <c r="C5" s="857"/>
      <c r="D5" s="874"/>
      <c r="E5" s="858"/>
      <c r="F5" s="874"/>
      <c r="G5" s="874"/>
      <c r="H5" s="874"/>
      <c r="I5" s="874"/>
      <c r="J5" s="874"/>
      <c r="K5" s="874"/>
      <c r="L5" s="874"/>
      <c r="M5" s="874"/>
      <c r="N5" s="874"/>
      <c r="O5" s="874"/>
      <c r="P5" s="874"/>
      <c r="Q5" s="874"/>
      <c r="R5" s="874"/>
      <c r="S5" s="874"/>
    </row>
    <row r="6" spans="1:19">
      <c r="A6" s="869" t="s">
        <v>2036</v>
      </c>
      <c r="B6" s="857"/>
      <c r="C6" s="857"/>
      <c r="D6" s="874"/>
      <c r="E6" s="858"/>
      <c r="F6" s="874"/>
      <c r="G6" s="874"/>
      <c r="H6" s="874"/>
      <c r="I6" s="874"/>
      <c r="J6" s="874"/>
      <c r="K6" s="874"/>
      <c r="L6" s="874"/>
      <c r="M6" s="874"/>
      <c r="N6" s="874"/>
      <c r="O6" s="874"/>
      <c r="P6" s="874"/>
      <c r="Q6" s="874"/>
      <c r="R6" s="874"/>
      <c r="S6" s="874"/>
    </row>
    <row r="7" spans="1:19">
      <c r="A7" s="869" t="s">
        <v>2037</v>
      </c>
      <c r="B7" s="857"/>
      <c r="C7" s="857"/>
      <c r="D7" s="874"/>
      <c r="E7" s="858"/>
      <c r="F7" s="874"/>
      <c r="G7" s="874"/>
      <c r="H7" s="874"/>
      <c r="I7" s="874"/>
      <c r="J7" s="874"/>
      <c r="K7" s="874"/>
      <c r="L7" s="874"/>
      <c r="M7" s="874"/>
      <c r="N7" s="874"/>
      <c r="O7" s="874"/>
      <c r="P7" s="874"/>
      <c r="Q7" s="874"/>
      <c r="R7" s="874"/>
      <c r="S7" s="874"/>
    </row>
    <row r="8" spans="1:19">
      <c r="A8" s="869" t="s">
        <v>2038</v>
      </c>
      <c r="B8" s="857"/>
      <c r="C8" s="857"/>
      <c r="D8" s="874"/>
      <c r="E8" s="858"/>
      <c r="F8" s="874"/>
      <c r="G8" s="874"/>
      <c r="H8" s="874"/>
      <c r="I8" s="874"/>
      <c r="J8" s="874"/>
      <c r="K8" s="874"/>
      <c r="L8" s="874"/>
      <c r="M8" s="874"/>
      <c r="N8" s="874"/>
      <c r="O8" s="874"/>
      <c r="P8" s="874"/>
      <c r="Q8" s="874"/>
      <c r="R8" s="874"/>
      <c r="S8" s="874"/>
    </row>
    <row r="9" spans="1:19">
      <c r="A9" s="869" t="s">
        <v>2039</v>
      </c>
      <c r="B9" s="857"/>
      <c r="C9" s="857"/>
      <c r="D9" s="874"/>
      <c r="E9" s="858"/>
      <c r="F9" s="874"/>
      <c r="G9" s="874"/>
      <c r="H9" s="874"/>
      <c r="I9" s="874"/>
      <c r="J9" s="874"/>
      <c r="K9" s="874"/>
      <c r="L9" s="874"/>
      <c r="M9" s="874"/>
      <c r="N9" s="874"/>
      <c r="O9" s="874"/>
      <c r="P9" s="874"/>
      <c r="Q9" s="874"/>
      <c r="R9" s="874"/>
      <c r="S9" s="874"/>
    </row>
    <row r="10" spans="1:19">
      <c r="A10" s="869" t="s">
        <v>2040</v>
      </c>
      <c r="B10" s="857"/>
      <c r="C10" s="857"/>
      <c r="D10" s="874"/>
      <c r="E10" s="858"/>
      <c r="F10" s="874"/>
      <c r="G10" s="874"/>
      <c r="H10" s="874"/>
      <c r="I10" s="874"/>
      <c r="J10" s="874"/>
      <c r="K10" s="874"/>
      <c r="L10" s="874"/>
      <c r="M10" s="874"/>
      <c r="N10" s="874"/>
      <c r="O10" s="874"/>
      <c r="P10" s="874"/>
      <c r="Q10" s="874"/>
      <c r="R10" s="874"/>
      <c r="S10" s="874"/>
    </row>
    <row r="11" spans="1:19">
      <c r="A11" s="869" t="s">
        <v>2041</v>
      </c>
      <c r="B11" s="857"/>
      <c r="C11" s="857"/>
      <c r="D11" s="874"/>
      <c r="E11" s="858"/>
      <c r="F11" s="874"/>
      <c r="G11" s="874"/>
      <c r="H11" s="874"/>
      <c r="I11" s="874"/>
      <c r="J11" s="874"/>
      <c r="K11" s="874"/>
      <c r="L11" s="874"/>
      <c r="M11" s="874"/>
      <c r="N11" s="874"/>
      <c r="O11" s="874"/>
      <c r="P11" s="874"/>
      <c r="Q11" s="874"/>
      <c r="R11" s="874"/>
      <c r="S11" s="874"/>
    </row>
    <row r="12" spans="1:19">
      <c r="A12" s="869" t="s">
        <v>2042</v>
      </c>
      <c r="B12" s="857"/>
      <c r="C12" s="857"/>
      <c r="D12" s="874"/>
      <c r="E12" s="858"/>
      <c r="F12" s="874"/>
      <c r="G12" s="874"/>
      <c r="H12" s="874"/>
      <c r="I12" s="874"/>
      <c r="J12" s="874"/>
      <c r="K12" s="874"/>
      <c r="L12" s="874"/>
      <c r="M12" s="874"/>
      <c r="N12" s="874"/>
      <c r="O12" s="874"/>
      <c r="P12" s="874"/>
      <c r="Q12" s="874"/>
      <c r="R12" s="874"/>
      <c r="S12" s="874"/>
    </row>
    <row r="13" spans="1:19">
      <c r="A13" s="869" t="s">
        <v>2043</v>
      </c>
      <c r="B13" s="859"/>
      <c r="C13" s="857"/>
      <c r="D13" s="874"/>
      <c r="E13" s="858"/>
      <c r="F13" s="874"/>
      <c r="G13" s="874"/>
      <c r="H13" s="874"/>
      <c r="I13" s="874"/>
      <c r="J13" s="874"/>
      <c r="K13" s="874"/>
      <c r="L13" s="874"/>
      <c r="M13" s="874"/>
      <c r="N13" s="874"/>
      <c r="O13" s="874"/>
      <c r="P13" s="874"/>
      <c r="Q13" s="874"/>
      <c r="R13" s="874"/>
      <c r="S13" s="874"/>
    </row>
    <row r="14" spans="1:19">
      <c r="A14" s="869" t="s">
        <v>2044</v>
      </c>
      <c r="B14" s="859"/>
      <c r="C14" s="857"/>
      <c r="D14" s="874"/>
      <c r="E14" s="858"/>
      <c r="F14" s="874"/>
      <c r="G14" s="874"/>
      <c r="H14" s="874"/>
      <c r="I14" s="874"/>
      <c r="J14" s="874"/>
      <c r="K14" s="874"/>
      <c r="L14" s="874"/>
      <c r="M14" s="874"/>
      <c r="N14" s="874"/>
      <c r="O14" s="874"/>
      <c r="P14" s="874"/>
      <c r="Q14" s="874"/>
      <c r="R14" s="874"/>
      <c r="S14" s="874"/>
    </row>
    <row r="15" spans="1:19">
      <c r="A15" s="869" t="s">
        <v>2045</v>
      </c>
      <c r="B15" s="857"/>
      <c r="C15" s="857"/>
      <c r="D15" s="874"/>
      <c r="E15" s="860"/>
      <c r="F15" s="874"/>
      <c r="G15" s="874"/>
      <c r="H15" s="874"/>
      <c r="I15" s="874"/>
      <c r="J15" s="874"/>
      <c r="K15" s="874"/>
      <c r="L15" s="874"/>
      <c r="M15" s="874"/>
      <c r="N15" s="874"/>
      <c r="O15" s="874"/>
      <c r="P15" s="874"/>
      <c r="Q15" s="874"/>
      <c r="R15" s="874"/>
      <c r="S15" s="874"/>
    </row>
    <row r="16" spans="1:19">
      <c r="A16" s="869" t="s">
        <v>2046</v>
      </c>
      <c r="B16" s="859"/>
      <c r="C16" s="857"/>
      <c r="D16" s="874"/>
      <c r="E16" s="858"/>
      <c r="F16" s="874"/>
      <c r="G16" s="874"/>
      <c r="H16" s="874"/>
      <c r="I16" s="874"/>
      <c r="J16" s="874"/>
      <c r="K16" s="874"/>
      <c r="L16" s="874"/>
      <c r="M16" s="874"/>
      <c r="N16" s="874"/>
      <c r="O16" s="874"/>
      <c r="P16" s="874"/>
      <c r="Q16" s="874"/>
      <c r="R16" s="874"/>
      <c r="S16" s="874"/>
    </row>
    <row r="17" spans="1:19">
      <c r="A17" s="869" t="s">
        <v>2047</v>
      </c>
      <c r="B17" s="859"/>
      <c r="C17" s="857"/>
      <c r="D17" s="874"/>
      <c r="E17" s="858"/>
      <c r="F17" s="874"/>
      <c r="G17" s="874"/>
      <c r="H17" s="874"/>
      <c r="I17" s="874"/>
      <c r="J17" s="874"/>
      <c r="K17" s="874"/>
      <c r="L17" s="874"/>
      <c r="M17" s="874"/>
      <c r="N17" s="874"/>
      <c r="O17" s="874"/>
      <c r="P17" s="874"/>
      <c r="Q17" s="874"/>
      <c r="R17" s="874"/>
      <c r="S17" s="874"/>
    </row>
    <row r="18" spans="1:19">
      <c r="A18" s="870" t="s">
        <v>2048</v>
      </c>
      <c r="B18" s="859"/>
      <c r="C18" s="857"/>
      <c r="D18" s="874"/>
      <c r="E18" s="858"/>
      <c r="F18" s="874"/>
      <c r="G18" s="874"/>
      <c r="H18" s="874"/>
      <c r="I18" s="874"/>
      <c r="J18" s="874"/>
      <c r="K18" s="874"/>
      <c r="L18" s="874"/>
      <c r="M18" s="874"/>
      <c r="N18" s="874"/>
      <c r="O18" s="874"/>
      <c r="P18" s="874"/>
      <c r="Q18" s="874"/>
      <c r="R18" s="874"/>
      <c r="S18" s="874"/>
    </row>
    <row r="19" spans="1:19">
      <c r="A19" s="870" t="s">
        <v>2049</v>
      </c>
      <c r="B19" s="859"/>
      <c r="C19" s="857"/>
      <c r="D19" s="874"/>
      <c r="E19" s="858"/>
      <c r="F19" s="874"/>
      <c r="G19" s="874"/>
      <c r="H19" s="874"/>
      <c r="I19" s="874"/>
      <c r="J19" s="874"/>
      <c r="K19" s="874"/>
      <c r="L19" s="874"/>
      <c r="M19" s="874"/>
      <c r="N19" s="874"/>
      <c r="O19" s="874"/>
      <c r="P19" s="874"/>
      <c r="Q19" s="874"/>
      <c r="R19" s="874"/>
      <c r="S19" s="874"/>
    </row>
    <row r="20" spans="1:19">
      <c r="A20" s="870" t="s">
        <v>2050</v>
      </c>
      <c r="B20" s="859"/>
      <c r="C20" s="857"/>
      <c r="D20" s="874"/>
      <c r="E20" s="858"/>
      <c r="F20" s="874"/>
      <c r="G20" s="874"/>
      <c r="H20" s="874"/>
      <c r="I20" s="874"/>
      <c r="J20" s="874"/>
      <c r="K20" s="874"/>
      <c r="L20" s="874"/>
      <c r="M20" s="874"/>
      <c r="N20" s="874"/>
      <c r="O20" s="874"/>
      <c r="P20" s="874"/>
      <c r="Q20" s="874"/>
      <c r="R20" s="874"/>
      <c r="S20" s="874"/>
    </row>
    <row r="21" spans="1:19">
      <c r="A21" s="870" t="s">
        <v>2051</v>
      </c>
      <c r="B21" s="859"/>
      <c r="C21" s="857"/>
      <c r="D21" s="874"/>
      <c r="E21" s="858"/>
      <c r="F21" s="861"/>
      <c r="G21" s="861"/>
      <c r="H21" s="861"/>
      <c r="I21" s="861"/>
      <c r="J21" s="874"/>
      <c r="K21" s="874"/>
      <c r="L21" s="874"/>
      <c r="M21" s="874"/>
      <c r="N21" s="874"/>
      <c r="O21" s="874"/>
      <c r="P21" s="874"/>
      <c r="Q21" s="874"/>
      <c r="R21" s="874"/>
      <c r="S21" s="874"/>
    </row>
    <row r="22" spans="1:19">
      <c r="A22" s="857" t="s">
        <v>2052</v>
      </c>
      <c r="B22" s="859"/>
      <c r="C22" s="857"/>
      <c r="D22" s="874"/>
      <c r="E22" s="858"/>
      <c r="F22" s="861"/>
      <c r="G22" s="861"/>
      <c r="H22" s="861"/>
      <c r="I22" s="861"/>
      <c r="J22" s="874"/>
      <c r="K22" s="874"/>
      <c r="L22" s="874"/>
      <c r="M22" s="874"/>
      <c r="N22" s="874"/>
      <c r="O22" s="874"/>
      <c r="P22" s="874"/>
      <c r="Q22" s="874"/>
      <c r="R22" s="874"/>
      <c r="S22" s="874"/>
    </row>
    <row r="23" spans="1:19">
      <c r="A23" s="870" t="s">
        <v>2053</v>
      </c>
      <c r="B23" s="859"/>
      <c r="C23" s="857"/>
      <c r="D23" s="874"/>
      <c r="E23" s="858"/>
      <c r="F23" s="861"/>
      <c r="G23" s="861"/>
      <c r="H23" s="861"/>
      <c r="I23" s="861"/>
      <c r="J23" s="874"/>
      <c r="K23" s="874"/>
      <c r="L23" s="874"/>
      <c r="M23" s="874"/>
      <c r="N23" s="874"/>
      <c r="O23" s="874"/>
      <c r="P23" s="874"/>
      <c r="Q23" s="874"/>
      <c r="R23" s="874"/>
      <c r="S23" s="874"/>
    </row>
    <row r="24" spans="1:19">
      <c r="A24" s="870" t="s">
        <v>2054</v>
      </c>
      <c r="B24" s="859"/>
      <c r="C24" s="857"/>
      <c r="D24" s="874"/>
      <c r="E24" s="858"/>
      <c r="F24" s="861"/>
      <c r="G24" s="861"/>
      <c r="H24" s="861"/>
      <c r="I24" s="861"/>
      <c r="J24" s="874"/>
      <c r="K24" s="874"/>
      <c r="L24" s="874"/>
      <c r="M24" s="874"/>
      <c r="N24" s="874"/>
      <c r="O24" s="874"/>
      <c r="P24" s="874"/>
      <c r="Q24" s="874"/>
      <c r="R24" s="874"/>
      <c r="S24" s="874"/>
    </row>
    <row r="25" spans="1:19">
      <c r="A25" s="870" t="s">
        <v>2055</v>
      </c>
      <c r="B25" s="859"/>
      <c r="C25" s="857"/>
      <c r="D25" s="874"/>
      <c r="E25" s="858"/>
      <c r="F25" s="861"/>
      <c r="G25" s="861"/>
      <c r="H25" s="861"/>
      <c r="I25" s="861"/>
      <c r="J25" s="874"/>
      <c r="K25" s="874"/>
      <c r="L25" s="874"/>
      <c r="M25" s="874"/>
      <c r="N25" s="874"/>
      <c r="O25" s="874"/>
      <c r="P25" s="874"/>
      <c r="Q25" s="874"/>
      <c r="R25" s="874"/>
      <c r="S25" s="874"/>
    </row>
    <row r="26" spans="1:19">
      <c r="A26" s="870" t="s">
        <v>865</v>
      </c>
      <c r="B26" s="859"/>
      <c r="C26" s="857"/>
      <c r="D26" s="874"/>
      <c r="E26" s="858"/>
      <c r="F26" s="861"/>
      <c r="G26" s="861"/>
      <c r="H26" s="861"/>
      <c r="I26" s="861"/>
      <c r="J26" s="874"/>
      <c r="K26" s="874"/>
      <c r="L26" s="874"/>
      <c r="M26" s="874"/>
      <c r="N26" s="874"/>
      <c r="O26" s="874"/>
      <c r="P26" s="874"/>
      <c r="Q26" s="874"/>
      <c r="R26" s="874"/>
      <c r="S26" s="874"/>
    </row>
    <row r="27" spans="1:19">
      <c r="A27" s="870" t="s">
        <v>866</v>
      </c>
      <c r="B27" s="859"/>
      <c r="C27" s="857"/>
      <c r="D27" s="874"/>
      <c r="E27" s="858"/>
      <c r="F27" s="861"/>
      <c r="G27" s="861"/>
      <c r="H27" s="861"/>
      <c r="I27" s="861"/>
      <c r="J27" s="874"/>
      <c r="K27" s="874"/>
      <c r="L27" s="874"/>
      <c r="M27" s="874"/>
      <c r="N27" s="874"/>
      <c r="O27" s="874"/>
      <c r="P27" s="874"/>
      <c r="Q27" s="874"/>
      <c r="R27" s="874"/>
      <c r="S27" s="874"/>
    </row>
    <row r="28" spans="1:19">
      <c r="A28" s="863" t="s">
        <v>297</v>
      </c>
      <c r="B28" s="859"/>
      <c r="C28" s="857"/>
      <c r="D28" s="874"/>
      <c r="E28" s="858"/>
      <c r="F28" s="861"/>
      <c r="G28" s="861"/>
      <c r="H28" s="861"/>
      <c r="I28" s="861"/>
      <c r="J28" s="874"/>
      <c r="K28" s="874"/>
      <c r="L28" s="874"/>
      <c r="M28" s="874"/>
      <c r="N28" s="874"/>
      <c r="O28" s="874"/>
      <c r="P28" s="874"/>
      <c r="Q28" s="874"/>
      <c r="R28" s="874"/>
      <c r="S28" s="874"/>
    </row>
    <row r="29" spans="1:19">
      <c r="A29" s="870" t="s">
        <v>40</v>
      </c>
      <c r="B29" s="859"/>
      <c r="C29" s="857"/>
      <c r="D29" s="874"/>
      <c r="E29" s="858"/>
      <c r="F29" s="861"/>
      <c r="G29" s="861"/>
      <c r="H29" s="861"/>
      <c r="I29" s="861"/>
      <c r="J29" s="874"/>
      <c r="K29" s="874"/>
      <c r="L29" s="874"/>
      <c r="M29" s="874"/>
      <c r="N29" s="874"/>
      <c r="O29" s="874"/>
      <c r="P29" s="874"/>
      <c r="Q29" s="874"/>
      <c r="R29" s="874"/>
      <c r="S29" s="874"/>
    </row>
    <row r="30" spans="1:19">
      <c r="A30" s="862"/>
      <c r="B30" s="857"/>
      <c r="C30" s="857"/>
      <c r="D30" s="874"/>
      <c r="E30" s="858"/>
      <c r="F30" s="861"/>
      <c r="G30" s="861"/>
      <c r="H30" s="861"/>
      <c r="I30" s="861"/>
      <c r="J30" s="874"/>
      <c r="K30" s="874"/>
      <c r="L30" s="874"/>
      <c r="M30" s="874"/>
      <c r="N30" s="874"/>
      <c r="O30" s="874"/>
      <c r="P30" s="874"/>
      <c r="Q30" s="874"/>
      <c r="R30" s="874"/>
      <c r="S30" s="874"/>
    </row>
    <row r="31" spans="1:19">
      <c r="A31" s="868" t="s">
        <v>650</v>
      </c>
      <c r="B31" s="866"/>
      <c r="C31" s="866"/>
      <c r="D31" s="874"/>
      <c r="E31" s="858"/>
      <c r="F31" s="861"/>
      <c r="G31" s="861"/>
      <c r="H31" s="861"/>
      <c r="I31" s="861"/>
      <c r="J31" s="874"/>
      <c r="K31" s="874"/>
      <c r="L31" s="874"/>
      <c r="M31" s="874"/>
      <c r="N31" s="874"/>
      <c r="O31" s="874"/>
      <c r="P31" s="874"/>
      <c r="Q31" s="874"/>
      <c r="R31" s="874"/>
      <c r="S31" s="874"/>
    </row>
    <row r="32" spans="1:19">
      <c r="A32" s="863"/>
      <c r="B32" s="857"/>
      <c r="C32" s="857"/>
      <c r="D32" s="874"/>
      <c r="E32" s="858"/>
      <c r="F32" s="861"/>
      <c r="G32" s="861"/>
      <c r="H32" s="861"/>
      <c r="I32" s="861"/>
      <c r="J32" s="874"/>
      <c r="K32" s="874"/>
      <c r="L32" s="874"/>
      <c r="M32" s="874"/>
      <c r="N32" s="874"/>
      <c r="O32" s="874"/>
      <c r="P32" s="874"/>
      <c r="Q32" s="874"/>
      <c r="R32" s="874"/>
      <c r="S32" s="874"/>
    </row>
    <row r="33" spans="1:19">
      <c r="A33" s="863" t="s">
        <v>908</v>
      </c>
      <c r="B33" s="857"/>
      <c r="C33" s="857"/>
      <c r="D33" s="874"/>
      <c r="E33" s="858"/>
      <c r="F33" s="861"/>
      <c r="G33" s="861"/>
      <c r="H33" s="861"/>
      <c r="I33" s="861"/>
      <c r="J33" s="874"/>
      <c r="K33" s="874"/>
      <c r="L33" s="874"/>
      <c r="M33" s="874"/>
      <c r="N33" s="874"/>
      <c r="O33" s="874"/>
      <c r="P33" s="874"/>
      <c r="Q33" s="874"/>
      <c r="R33" s="874"/>
      <c r="S33" s="874"/>
    </row>
    <row r="34" spans="1:19">
      <c r="A34" s="863" t="s">
        <v>909</v>
      </c>
      <c r="B34" s="857"/>
      <c r="C34" s="857"/>
      <c r="D34" s="874"/>
      <c r="E34" s="858"/>
      <c r="F34" s="861"/>
      <c r="G34" s="861"/>
      <c r="H34" s="861"/>
      <c r="I34" s="861"/>
      <c r="J34" s="874"/>
      <c r="K34" s="874"/>
      <c r="L34" s="874"/>
      <c r="M34" s="874"/>
      <c r="N34" s="874"/>
      <c r="O34" s="874"/>
      <c r="P34" s="874"/>
      <c r="Q34" s="874"/>
      <c r="R34" s="874"/>
      <c r="S34" s="874"/>
    </row>
    <row r="35" spans="1:19">
      <c r="A35" s="863" t="s">
        <v>910</v>
      </c>
      <c r="B35" s="857"/>
      <c r="C35" s="857"/>
      <c r="D35" s="874"/>
      <c r="E35" s="858"/>
      <c r="F35" s="861"/>
      <c r="G35" s="861"/>
      <c r="H35" s="861"/>
      <c r="I35" s="861"/>
      <c r="J35" s="874"/>
      <c r="K35" s="874"/>
      <c r="L35" s="874"/>
      <c r="M35" s="874"/>
      <c r="N35" s="874"/>
      <c r="O35" s="874"/>
      <c r="P35" s="874"/>
      <c r="Q35" s="874"/>
      <c r="R35" s="874"/>
      <c r="S35" s="874"/>
    </row>
    <row r="36" spans="1:19">
      <c r="A36" s="863" t="s">
        <v>911</v>
      </c>
      <c r="B36" s="857"/>
      <c r="C36" s="857"/>
      <c r="D36" s="874"/>
      <c r="E36" s="858"/>
      <c r="F36" s="861"/>
      <c r="G36" s="861"/>
      <c r="H36" s="861"/>
      <c r="I36" s="861"/>
      <c r="J36" s="874"/>
      <c r="K36" s="874"/>
      <c r="L36" s="874"/>
      <c r="M36" s="874"/>
      <c r="N36" s="874"/>
      <c r="O36" s="874"/>
      <c r="P36" s="874"/>
      <c r="Q36" s="874"/>
      <c r="R36" s="874"/>
      <c r="S36" s="874"/>
    </row>
    <row r="37" spans="1:19">
      <c r="A37" s="863" t="s">
        <v>912</v>
      </c>
      <c r="B37" s="857"/>
      <c r="C37" s="857"/>
      <c r="D37" s="874"/>
      <c r="E37" s="858"/>
      <c r="F37" s="861"/>
      <c r="G37" s="861"/>
      <c r="H37" s="861"/>
      <c r="I37" s="861"/>
      <c r="J37" s="874"/>
      <c r="K37" s="874"/>
      <c r="L37" s="874"/>
      <c r="M37" s="874"/>
      <c r="N37" s="874"/>
      <c r="O37" s="874"/>
      <c r="P37" s="874"/>
      <c r="Q37" s="874"/>
      <c r="R37" s="874"/>
      <c r="S37" s="874"/>
    </row>
    <row r="38" spans="1:19">
      <c r="A38" s="863" t="s">
        <v>913</v>
      </c>
      <c r="B38" s="857"/>
      <c r="C38" s="857"/>
      <c r="D38" s="874"/>
      <c r="E38" s="858"/>
      <c r="F38" s="861"/>
      <c r="G38" s="861"/>
      <c r="H38" s="861"/>
      <c r="I38" s="861"/>
      <c r="J38" s="874"/>
      <c r="K38" s="874"/>
      <c r="L38" s="874"/>
      <c r="M38" s="874"/>
      <c r="N38" s="874"/>
      <c r="O38" s="874"/>
      <c r="P38" s="874"/>
      <c r="Q38" s="874"/>
      <c r="R38" s="874"/>
      <c r="S38" s="874"/>
    </row>
    <row r="39" spans="1:19">
      <c r="A39" s="863" t="s">
        <v>40</v>
      </c>
      <c r="B39" s="857"/>
      <c r="C39" s="857"/>
      <c r="D39" s="874"/>
      <c r="E39" s="858"/>
      <c r="F39" s="861"/>
      <c r="G39" s="861"/>
      <c r="H39" s="861"/>
      <c r="I39" s="861"/>
      <c r="J39" s="874"/>
      <c r="K39" s="874"/>
      <c r="L39" s="874"/>
      <c r="M39" s="874"/>
      <c r="N39" s="874"/>
      <c r="O39" s="874"/>
      <c r="P39" s="874"/>
      <c r="Q39" s="874"/>
      <c r="R39" s="874"/>
      <c r="S39" s="874"/>
    </row>
    <row r="40" spans="1:19">
      <c r="A40" s="862"/>
      <c r="B40" s="857"/>
      <c r="C40" s="857"/>
      <c r="D40" s="874"/>
      <c r="E40" s="858"/>
      <c r="F40" s="861"/>
      <c r="G40" s="861"/>
      <c r="H40" s="861"/>
      <c r="I40" s="861"/>
      <c r="J40" s="874"/>
      <c r="K40" s="874"/>
      <c r="L40" s="874"/>
      <c r="M40" s="874"/>
      <c r="N40" s="874"/>
      <c r="O40" s="874"/>
      <c r="P40" s="874"/>
      <c r="Q40" s="874"/>
      <c r="R40" s="874"/>
      <c r="S40" s="874"/>
    </row>
    <row r="41" spans="1:19">
      <c r="A41" s="868" t="s">
        <v>880</v>
      </c>
      <c r="B41" s="866"/>
      <c r="C41" s="866"/>
      <c r="D41" s="874"/>
      <c r="E41" s="858"/>
      <c r="F41" s="861"/>
      <c r="G41" s="861"/>
      <c r="H41" s="861"/>
      <c r="I41" s="861"/>
      <c r="J41" s="874"/>
      <c r="K41" s="874"/>
      <c r="L41" s="874"/>
      <c r="M41" s="874"/>
      <c r="N41" s="874"/>
      <c r="O41" s="874"/>
      <c r="P41" s="874"/>
      <c r="Q41" s="874"/>
      <c r="R41" s="874"/>
      <c r="S41" s="874"/>
    </row>
    <row r="42" spans="1:19">
      <c r="A42" s="863"/>
      <c r="B42" s="857"/>
      <c r="C42" s="857"/>
      <c r="D42" s="874"/>
      <c r="E42" s="858"/>
      <c r="F42" s="861"/>
      <c r="G42" s="861"/>
      <c r="H42" s="861"/>
      <c r="I42" s="861"/>
      <c r="J42" s="874"/>
      <c r="K42" s="874"/>
      <c r="L42" s="874"/>
      <c r="M42" s="874"/>
      <c r="N42" s="874"/>
      <c r="O42" s="874"/>
      <c r="P42" s="874"/>
      <c r="Q42" s="874"/>
      <c r="R42" s="874"/>
      <c r="S42" s="874"/>
    </row>
    <row r="43" spans="1:19">
      <c r="A43" s="863" t="s">
        <v>1893</v>
      </c>
      <c r="B43" s="857"/>
      <c r="C43" s="857"/>
      <c r="D43" s="874"/>
      <c r="E43" s="858"/>
      <c r="F43" s="861"/>
      <c r="G43" s="861"/>
      <c r="H43" s="861"/>
      <c r="I43" s="861"/>
      <c r="J43" s="874"/>
      <c r="K43" s="874"/>
      <c r="L43" s="874"/>
      <c r="M43" s="874"/>
      <c r="N43" s="874"/>
      <c r="O43" s="874"/>
      <c r="P43" s="874"/>
      <c r="Q43" s="874"/>
      <c r="R43" s="874"/>
      <c r="S43" s="874"/>
    </row>
    <row r="44" spans="1:19">
      <c r="A44" s="863" t="s">
        <v>1894</v>
      </c>
      <c r="B44" s="857"/>
      <c r="C44" s="857"/>
      <c r="D44" s="874"/>
      <c r="E44" s="858"/>
      <c r="F44" s="861"/>
      <c r="G44" s="861"/>
      <c r="H44" s="861"/>
      <c r="I44" s="861"/>
      <c r="J44" s="874"/>
      <c r="K44" s="874"/>
      <c r="L44" s="874"/>
      <c r="M44" s="874"/>
      <c r="N44" s="874"/>
      <c r="O44" s="874"/>
      <c r="P44" s="874"/>
      <c r="Q44" s="874"/>
      <c r="R44" s="874"/>
      <c r="S44" s="874"/>
    </row>
    <row r="45" spans="1:19">
      <c r="A45" s="863" t="s">
        <v>311</v>
      </c>
      <c r="B45" s="857"/>
      <c r="C45" s="857"/>
      <c r="D45" s="874"/>
      <c r="E45" s="858"/>
      <c r="F45" s="861"/>
      <c r="G45" s="861"/>
      <c r="H45" s="861"/>
      <c r="I45" s="861"/>
      <c r="J45" s="874"/>
      <c r="K45" s="874"/>
      <c r="L45" s="874"/>
      <c r="M45" s="874"/>
      <c r="N45" s="874"/>
      <c r="O45" s="874"/>
      <c r="P45" s="874"/>
      <c r="Q45" s="874"/>
      <c r="R45" s="874"/>
      <c r="S45" s="874"/>
    </row>
    <row r="46" spans="1:19">
      <c r="A46" s="863" t="s">
        <v>914</v>
      </c>
      <c r="B46" s="857"/>
      <c r="C46" s="857"/>
      <c r="D46" s="874"/>
      <c r="E46" s="858"/>
      <c r="F46" s="861"/>
      <c r="G46" s="861"/>
      <c r="H46" s="861"/>
      <c r="I46" s="861"/>
      <c r="J46" s="874"/>
      <c r="K46" s="874"/>
      <c r="L46" s="874"/>
      <c r="M46" s="874"/>
      <c r="N46" s="874"/>
      <c r="O46" s="874"/>
      <c r="P46" s="874"/>
      <c r="Q46" s="874"/>
      <c r="R46" s="874"/>
      <c r="S46" s="874"/>
    </row>
    <row r="47" spans="1:19">
      <c r="A47" s="863" t="s">
        <v>915</v>
      </c>
      <c r="B47" s="857"/>
      <c r="C47" s="857"/>
      <c r="D47" s="874"/>
      <c r="E47" s="858"/>
      <c r="F47" s="861"/>
      <c r="G47" s="861"/>
      <c r="H47" s="861"/>
      <c r="I47" s="861"/>
      <c r="J47" s="874"/>
      <c r="K47" s="874"/>
      <c r="L47" s="874"/>
      <c r="M47" s="874"/>
      <c r="N47" s="874"/>
      <c r="O47" s="874"/>
      <c r="P47" s="874"/>
      <c r="Q47" s="874"/>
      <c r="R47" s="874"/>
      <c r="S47" s="874"/>
    </row>
    <row r="48" spans="1:19">
      <c r="A48" s="863" t="s">
        <v>40</v>
      </c>
      <c r="B48" s="857"/>
      <c r="C48" s="857"/>
      <c r="D48" s="874"/>
      <c r="E48" s="858"/>
      <c r="F48" s="861"/>
      <c r="G48" s="861"/>
      <c r="H48" s="861"/>
      <c r="I48" s="861"/>
      <c r="J48" s="874"/>
      <c r="K48" s="874"/>
      <c r="L48" s="874"/>
      <c r="M48" s="874"/>
      <c r="N48" s="874"/>
      <c r="O48" s="874"/>
      <c r="P48" s="874"/>
      <c r="Q48" s="874"/>
      <c r="R48" s="874"/>
      <c r="S48" s="874"/>
    </row>
    <row r="49" spans="1:19">
      <c r="A49" s="863"/>
      <c r="B49" s="857"/>
      <c r="C49" s="857"/>
      <c r="D49" s="874"/>
      <c r="E49" s="858"/>
      <c r="F49" s="861"/>
      <c r="G49" s="861"/>
      <c r="H49" s="861"/>
      <c r="I49" s="861"/>
      <c r="J49" s="874"/>
      <c r="K49" s="874"/>
      <c r="L49" s="874"/>
      <c r="M49" s="874"/>
      <c r="N49" s="874"/>
      <c r="O49" s="874"/>
      <c r="P49" s="874"/>
      <c r="Q49" s="874"/>
      <c r="R49" s="874"/>
      <c r="S49" s="874"/>
    </row>
    <row r="50" spans="1:19">
      <c r="A50" s="868" t="s">
        <v>1082</v>
      </c>
      <c r="B50" s="866"/>
      <c r="C50" s="866"/>
      <c r="D50" s="874"/>
      <c r="E50" s="858"/>
      <c r="F50" s="861"/>
      <c r="G50" s="861"/>
      <c r="H50" s="861"/>
      <c r="I50" s="861"/>
      <c r="J50" s="874"/>
      <c r="K50" s="874"/>
      <c r="L50" s="874"/>
      <c r="M50" s="874"/>
      <c r="N50" s="874"/>
      <c r="O50" s="874"/>
      <c r="P50" s="874"/>
      <c r="Q50" s="874"/>
      <c r="R50" s="874"/>
      <c r="S50" s="874"/>
    </row>
    <row r="51" spans="1:19">
      <c r="A51" s="863"/>
      <c r="B51" s="857"/>
      <c r="C51" s="857"/>
      <c r="D51" s="874"/>
      <c r="E51" s="858"/>
      <c r="F51" s="861"/>
      <c r="G51" s="861"/>
      <c r="H51" s="861"/>
      <c r="I51" s="861"/>
      <c r="J51" s="874"/>
      <c r="K51" s="874"/>
      <c r="L51" s="874"/>
      <c r="M51" s="874"/>
      <c r="N51" s="874"/>
      <c r="O51" s="874"/>
      <c r="P51" s="874"/>
      <c r="Q51" s="874"/>
      <c r="R51" s="874"/>
      <c r="S51" s="874"/>
    </row>
    <row r="52" spans="1:19">
      <c r="A52" s="863" t="s">
        <v>825</v>
      </c>
      <c r="B52" s="857"/>
      <c r="C52" s="857"/>
      <c r="D52" s="874"/>
      <c r="E52" s="858"/>
      <c r="F52" s="861"/>
      <c r="G52" s="861"/>
      <c r="H52" s="861"/>
      <c r="I52" s="861"/>
      <c r="J52" s="874"/>
      <c r="K52" s="874"/>
      <c r="L52" s="874"/>
      <c r="M52" s="874"/>
      <c r="N52" s="874"/>
      <c r="O52" s="874"/>
      <c r="P52" s="874"/>
      <c r="Q52" s="874"/>
      <c r="R52" s="874"/>
      <c r="S52" s="874"/>
    </row>
    <row r="53" spans="1:19">
      <c r="A53" s="863" t="s">
        <v>826</v>
      </c>
      <c r="B53" s="857"/>
      <c r="C53" s="857"/>
      <c r="D53" s="874"/>
      <c r="E53" s="858"/>
      <c r="F53" s="861"/>
      <c r="G53" s="861"/>
      <c r="H53" s="861"/>
      <c r="I53" s="861"/>
      <c r="J53" s="874"/>
      <c r="K53" s="874"/>
      <c r="L53" s="874"/>
      <c r="M53" s="874"/>
      <c r="N53" s="874"/>
      <c r="O53" s="874"/>
      <c r="P53" s="874"/>
      <c r="Q53" s="874"/>
      <c r="R53" s="874"/>
      <c r="S53" s="874"/>
    </row>
    <row r="54" spans="1:19">
      <c r="A54" s="863" t="s">
        <v>827</v>
      </c>
      <c r="B54" s="857"/>
      <c r="C54" s="857"/>
      <c r="D54" s="874"/>
      <c r="E54" s="858"/>
      <c r="F54" s="861"/>
      <c r="G54" s="861"/>
      <c r="H54" s="861"/>
      <c r="I54" s="861"/>
      <c r="J54" s="874"/>
      <c r="K54" s="874"/>
      <c r="L54" s="874"/>
      <c r="M54" s="874"/>
      <c r="N54" s="874"/>
      <c r="O54" s="874"/>
      <c r="P54" s="874"/>
      <c r="Q54" s="874"/>
      <c r="R54" s="874"/>
      <c r="S54" s="874"/>
    </row>
    <row r="55" spans="1:19">
      <c r="A55" s="863" t="s">
        <v>828</v>
      </c>
      <c r="B55" s="857"/>
      <c r="C55" s="857"/>
      <c r="D55" s="874"/>
      <c r="E55" s="858"/>
      <c r="F55" s="861"/>
      <c r="G55" s="861"/>
      <c r="H55" s="861"/>
      <c r="I55" s="861"/>
      <c r="J55" s="874"/>
      <c r="K55" s="874"/>
      <c r="L55" s="874"/>
      <c r="M55" s="874"/>
      <c r="N55" s="874"/>
      <c r="O55" s="874"/>
      <c r="P55" s="874"/>
      <c r="Q55" s="874"/>
      <c r="R55" s="874"/>
      <c r="S55" s="874"/>
    </row>
    <row r="56" spans="1:19">
      <c r="A56" s="863" t="s">
        <v>806</v>
      </c>
      <c r="B56" s="857"/>
      <c r="C56" s="857"/>
      <c r="D56" s="874"/>
      <c r="E56" s="858"/>
      <c r="F56" s="861"/>
      <c r="G56" s="861"/>
      <c r="H56" s="861"/>
      <c r="I56" s="861"/>
      <c r="J56" s="874"/>
      <c r="K56" s="874"/>
      <c r="L56" s="874"/>
      <c r="M56" s="874"/>
      <c r="N56" s="874"/>
      <c r="O56" s="874"/>
      <c r="P56" s="874"/>
      <c r="Q56" s="874"/>
      <c r="R56" s="874"/>
      <c r="S56" s="874"/>
    </row>
    <row r="57" spans="1:19">
      <c r="A57" s="862"/>
      <c r="B57" s="857"/>
      <c r="C57" s="857"/>
      <c r="D57" s="874"/>
      <c r="E57" s="858"/>
      <c r="F57" s="861"/>
      <c r="G57" s="861"/>
      <c r="H57" s="861"/>
      <c r="I57" s="861"/>
      <c r="J57" s="874"/>
      <c r="K57" s="874"/>
      <c r="L57" s="874"/>
      <c r="M57" s="874"/>
      <c r="N57" s="874"/>
      <c r="O57" s="874"/>
      <c r="P57" s="874"/>
      <c r="Q57" s="874"/>
      <c r="R57" s="874"/>
      <c r="S57" s="874"/>
    </row>
    <row r="58" spans="1:19">
      <c r="A58" s="868" t="s">
        <v>334</v>
      </c>
      <c r="B58" s="866"/>
      <c r="C58" s="866"/>
      <c r="D58" s="874"/>
      <c r="E58" s="858"/>
      <c r="F58" s="861"/>
      <c r="G58" s="861"/>
      <c r="H58" s="861"/>
      <c r="I58" s="861"/>
      <c r="J58" s="874"/>
      <c r="K58" s="874"/>
      <c r="L58" s="874"/>
      <c r="M58" s="874"/>
      <c r="N58" s="874"/>
      <c r="O58" s="874"/>
      <c r="P58" s="874"/>
      <c r="Q58" s="874"/>
      <c r="R58" s="874"/>
      <c r="S58" s="874"/>
    </row>
    <row r="59" spans="1:19">
      <c r="A59" s="863"/>
      <c r="B59" s="857"/>
      <c r="C59" s="857"/>
      <c r="D59" s="874"/>
      <c r="E59" s="858"/>
      <c r="F59" s="861"/>
      <c r="G59" s="861"/>
      <c r="H59" s="861"/>
      <c r="I59" s="861"/>
      <c r="J59" s="874"/>
      <c r="K59" s="874"/>
      <c r="L59" s="874"/>
      <c r="M59" s="874"/>
      <c r="N59" s="874"/>
      <c r="O59" s="874"/>
      <c r="P59" s="874"/>
      <c r="Q59" s="874"/>
      <c r="R59" s="874"/>
      <c r="S59" s="874"/>
    </row>
    <row r="60" spans="1:19">
      <c r="A60" s="863" t="s">
        <v>856</v>
      </c>
      <c r="B60" s="857"/>
      <c r="C60" s="857"/>
      <c r="D60" s="874"/>
      <c r="E60" s="858"/>
      <c r="F60" s="861"/>
      <c r="G60" s="861"/>
      <c r="H60" s="861"/>
      <c r="I60" s="861"/>
      <c r="J60" s="874"/>
      <c r="K60" s="874"/>
      <c r="L60" s="874"/>
      <c r="M60" s="874"/>
      <c r="N60" s="874"/>
      <c r="O60" s="874"/>
      <c r="P60" s="874"/>
      <c r="Q60" s="874"/>
      <c r="R60" s="874"/>
      <c r="S60" s="874"/>
    </row>
    <row r="61" spans="1:19">
      <c r="A61" s="863" t="s">
        <v>857</v>
      </c>
      <c r="B61" s="863"/>
      <c r="C61" s="857"/>
      <c r="D61" s="874"/>
      <c r="E61" s="858"/>
      <c r="F61" s="861"/>
      <c r="G61" s="861"/>
      <c r="H61" s="861"/>
      <c r="I61" s="861"/>
      <c r="J61" s="874"/>
      <c r="K61" s="874"/>
      <c r="L61" s="874"/>
      <c r="M61" s="874"/>
      <c r="N61" s="874"/>
      <c r="O61" s="874"/>
      <c r="P61" s="874"/>
      <c r="Q61" s="874"/>
      <c r="R61" s="874"/>
      <c r="S61" s="874"/>
    </row>
    <row r="62" spans="1:19">
      <c r="A62" s="863" t="s">
        <v>858</v>
      </c>
      <c r="B62" s="863"/>
      <c r="C62" s="857"/>
      <c r="D62" s="874"/>
      <c r="E62" s="858"/>
      <c r="F62" s="861"/>
      <c r="G62" s="861"/>
      <c r="H62" s="861"/>
      <c r="I62" s="861"/>
      <c r="J62" s="874"/>
      <c r="K62" s="874"/>
      <c r="L62" s="874"/>
      <c r="M62" s="874"/>
      <c r="N62" s="874"/>
      <c r="O62" s="874"/>
      <c r="P62" s="874"/>
      <c r="Q62" s="874"/>
      <c r="R62" s="874"/>
      <c r="S62" s="874"/>
    </row>
    <row r="63" spans="1:19">
      <c r="A63" s="863" t="s">
        <v>329</v>
      </c>
      <c r="B63" s="863"/>
      <c r="C63" s="857"/>
      <c r="D63" s="874"/>
      <c r="E63" s="858"/>
      <c r="F63" s="861"/>
      <c r="G63" s="861"/>
      <c r="H63" s="861"/>
      <c r="I63" s="861"/>
      <c r="J63" s="874"/>
      <c r="K63" s="874"/>
      <c r="L63" s="874"/>
      <c r="M63" s="874"/>
      <c r="N63" s="874"/>
      <c r="O63" s="874"/>
      <c r="P63" s="874"/>
      <c r="Q63" s="874"/>
      <c r="R63" s="874"/>
      <c r="S63" s="874"/>
    </row>
    <row r="64" spans="1:19">
      <c r="A64" s="863" t="s">
        <v>330</v>
      </c>
      <c r="B64" s="863"/>
      <c r="C64" s="857"/>
      <c r="D64" s="874"/>
      <c r="E64" s="858"/>
      <c r="F64" s="861"/>
      <c r="G64" s="861"/>
      <c r="H64" s="861"/>
      <c r="I64" s="861"/>
      <c r="J64" s="874"/>
      <c r="K64" s="874"/>
      <c r="L64" s="874"/>
      <c r="M64" s="874"/>
      <c r="N64" s="874"/>
      <c r="O64" s="874"/>
      <c r="P64" s="874"/>
      <c r="Q64" s="874"/>
      <c r="R64" s="874"/>
      <c r="S64" s="874"/>
    </row>
    <row r="65" spans="1:19">
      <c r="A65" s="863" t="s">
        <v>331</v>
      </c>
      <c r="B65" s="857"/>
      <c r="C65" s="857"/>
      <c r="D65" s="874"/>
      <c r="E65" s="858"/>
      <c r="F65" s="861"/>
      <c r="G65" s="861"/>
      <c r="H65" s="861"/>
      <c r="I65" s="861"/>
      <c r="J65" s="874"/>
      <c r="K65" s="874"/>
      <c r="L65" s="874"/>
      <c r="M65" s="874"/>
      <c r="N65" s="874"/>
      <c r="O65" s="874"/>
      <c r="P65" s="874"/>
      <c r="Q65" s="874"/>
      <c r="R65" s="874"/>
      <c r="S65" s="874"/>
    </row>
    <row r="66" spans="1:19">
      <c r="A66" s="863" t="s">
        <v>333</v>
      </c>
      <c r="B66" s="857"/>
      <c r="C66" s="857"/>
      <c r="D66" s="874"/>
      <c r="E66" s="858"/>
      <c r="F66" s="861"/>
      <c r="G66" s="861"/>
      <c r="H66" s="861"/>
      <c r="I66" s="861"/>
      <c r="J66" s="874"/>
      <c r="K66" s="874"/>
      <c r="L66" s="874"/>
      <c r="M66" s="874"/>
      <c r="N66" s="874"/>
      <c r="O66" s="874"/>
      <c r="P66" s="874"/>
      <c r="Q66" s="874"/>
      <c r="R66" s="874"/>
      <c r="S66" s="874"/>
    </row>
    <row r="67" spans="1:19">
      <c r="A67" s="863" t="s">
        <v>332</v>
      </c>
      <c r="B67" s="857"/>
      <c r="C67" s="857"/>
      <c r="D67" s="874"/>
      <c r="E67" s="858"/>
      <c r="F67" s="861"/>
      <c r="G67" s="861"/>
      <c r="H67" s="861"/>
      <c r="I67" s="861"/>
      <c r="J67" s="874"/>
      <c r="K67" s="874"/>
      <c r="L67" s="874"/>
      <c r="M67" s="874"/>
      <c r="N67" s="874"/>
      <c r="O67" s="874"/>
      <c r="P67" s="874"/>
      <c r="Q67" s="874"/>
      <c r="R67" s="874"/>
      <c r="S67" s="874"/>
    </row>
    <row r="68" spans="1:19">
      <c r="A68" s="863" t="s">
        <v>1544</v>
      </c>
      <c r="B68" s="857"/>
      <c r="C68" s="857"/>
      <c r="D68" s="874"/>
      <c r="E68" s="858"/>
      <c r="F68" s="861"/>
      <c r="G68" s="861"/>
      <c r="H68" s="861"/>
      <c r="I68" s="861"/>
      <c r="J68" s="874"/>
      <c r="K68" s="874"/>
      <c r="L68" s="874"/>
      <c r="M68" s="874"/>
      <c r="N68" s="874"/>
      <c r="O68" s="874"/>
      <c r="P68" s="874"/>
      <c r="Q68" s="874"/>
      <c r="R68" s="874"/>
      <c r="S68" s="874"/>
    </row>
    <row r="69" spans="1:19">
      <c r="A69" s="863" t="s">
        <v>1545</v>
      </c>
      <c r="B69" s="857"/>
      <c r="C69" s="857"/>
      <c r="D69" s="874"/>
      <c r="E69" s="858"/>
      <c r="F69" s="861"/>
      <c r="G69" s="861"/>
      <c r="H69" s="861"/>
      <c r="I69" s="861"/>
      <c r="J69" s="874"/>
      <c r="K69" s="874"/>
      <c r="L69" s="874"/>
      <c r="M69" s="874"/>
      <c r="N69" s="874"/>
      <c r="O69" s="874"/>
      <c r="P69" s="874"/>
      <c r="Q69" s="874"/>
      <c r="R69" s="874"/>
      <c r="S69" s="874"/>
    </row>
    <row r="70" spans="1:19">
      <c r="A70" s="863" t="s">
        <v>337</v>
      </c>
      <c r="B70" s="859"/>
      <c r="C70" s="857"/>
      <c r="D70" s="874"/>
      <c r="E70" s="858"/>
      <c r="F70" s="861"/>
      <c r="G70" s="861"/>
      <c r="H70" s="861"/>
      <c r="I70" s="861"/>
      <c r="J70" s="874"/>
      <c r="K70" s="874"/>
      <c r="L70" s="874"/>
      <c r="M70" s="874"/>
      <c r="N70" s="874"/>
      <c r="O70" s="874"/>
      <c r="P70" s="874"/>
      <c r="Q70" s="874"/>
      <c r="R70" s="874"/>
      <c r="S70" s="874"/>
    </row>
    <row r="71" spans="1:19" s="2146" customFormat="1">
      <c r="A71" s="2144"/>
      <c r="B71" s="2145"/>
      <c r="C71" s="2145"/>
      <c r="E71" s="2147"/>
      <c r="F71" s="2148"/>
      <c r="G71" s="2148"/>
      <c r="H71" s="2148"/>
      <c r="I71" s="2148"/>
    </row>
    <row r="72" spans="1:19" s="2146" customFormat="1">
      <c r="A72" s="2149" t="s">
        <v>5644</v>
      </c>
      <c r="B72" s="2150"/>
      <c r="C72" s="2150"/>
      <c r="E72" s="2147" t="s">
        <v>5645</v>
      </c>
      <c r="F72" s="2148"/>
      <c r="G72" s="2148"/>
      <c r="H72" s="2148"/>
      <c r="I72" s="2148"/>
    </row>
    <row r="73" spans="1:19" s="2146" customFormat="1">
      <c r="A73" s="2144"/>
      <c r="B73" s="2145"/>
      <c r="C73" s="2145"/>
      <c r="E73" s="2147"/>
      <c r="F73" s="2148"/>
      <c r="G73" s="2148"/>
      <c r="H73" s="2148"/>
      <c r="I73" s="2148"/>
    </row>
    <row r="74" spans="1:19" s="2146" customFormat="1">
      <c r="A74" s="2144" t="s">
        <v>5646</v>
      </c>
      <c r="B74" s="2145"/>
      <c r="C74" s="2145"/>
      <c r="E74" s="2147"/>
      <c r="F74" s="2148"/>
      <c r="G74" s="2148"/>
      <c r="H74" s="2148"/>
      <c r="I74" s="2148"/>
    </row>
    <row r="75" spans="1:19" s="2146" customFormat="1">
      <c r="A75" s="2144" t="s">
        <v>5647</v>
      </c>
      <c r="B75" s="2145"/>
      <c r="C75" s="2145"/>
      <c r="E75" s="2147"/>
      <c r="F75" s="2148"/>
      <c r="G75" s="2148"/>
      <c r="H75" s="2148"/>
      <c r="I75" s="2148"/>
    </row>
    <row r="76" spans="1:19">
      <c r="A76" s="863"/>
      <c r="B76" s="857"/>
      <c r="C76" s="857"/>
      <c r="D76" s="874"/>
      <c r="E76" s="858"/>
      <c r="F76" s="861"/>
      <c r="G76" s="861"/>
      <c r="H76" s="861"/>
      <c r="I76" s="861"/>
      <c r="J76" s="874"/>
      <c r="K76" s="874"/>
      <c r="L76" s="874"/>
      <c r="M76" s="874"/>
      <c r="N76" s="874"/>
      <c r="O76" s="874"/>
      <c r="P76" s="874"/>
      <c r="Q76" s="874"/>
      <c r="R76" s="874"/>
      <c r="S76" s="874"/>
    </row>
    <row r="77" spans="1:19">
      <c r="A77" s="2149" t="s">
        <v>651</v>
      </c>
      <c r="B77" s="2150"/>
      <c r="C77" s="866"/>
      <c r="D77" s="874"/>
      <c r="E77" s="858"/>
      <c r="F77" s="861"/>
      <c r="G77" s="861"/>
      <c r="H77" s="861"/>
      <c r="I77" s="861"/>
      <c r="J77" s="874"/>
      <c r="K77" s="874"/>
      <c r="L77" s="874"/>
      <c r="M77" s="874"/>
      <c r="N77" s="874"/>
      <c r="O77" s="874"/>
      <c r="P77" s="874"/>
      <c r="Q77" s="874"/>
      <c r="R77" s="874"/>
      <c r="S77" s="874"/>
    </row>
    <row r="78" spans="1:19">
      <c r="A78" s="2144" t="s">
        <v>5648</v>
      </c>
      <c r="B78" s="2144"/>
      <c r="C78" s="857"/>
      <c r="D78" s="874"/>
      <c r="E78" s="858"/>
      <c r="F78" s="861"/>
      <c r="G78" s="861"/>
      <c r="H78" s="861"/>
      <c r="I78" s="861"/>
      <c r="J78" s="874"/>
      <c r="K78" s="874"/>
      <c r="L78" s="874"/>
      <c r="M78" s="874"/>
      <c r="N78" s="874"/>
      <c r="O78" s="874"/>
      <c r="P78" s="874"/>
      <c r="Q78" s="874"/>
      <c r="R78" s="874"/>
      <c r="S78" s="874"/>
    </row>
    <row r="79" spans="1:19">
      <c r="A79" s="2151"/>
      <c r="B79" s="2144" t="s">
        <v>5649</v>
      </c>
      <c r="C79" s="857"/>
      <c r="D79" s="874"/>
      <c r="E79" s="858"/>
      <c r="F79" s="861"/>
      <c r="G79" s="861"/>
      <c r="H79" s="861"/>
      <c r="I79" s="861"/>
      <c r="J79" s="874"/>
      <c r="K79" s="874"/>
      <c r="L79" s="874"/>
      <c r="M79" s="874"/>
      <c r="N79" s="874"/>
      <c r="O79" s="874"/>
      <c r="P79" s="874"/>
      <c r="Q79" s="874"/>
      <c r="R79" s="874"/>
      <c r="S79" s="874"/>
    </row>
    <row r="80" spans="1:19">
      <c r="A80" s="2151"/>
      <c r="B80" s="2144" t="s">
        <v>5650</v>
      </c>
      <c r="C80" s="857"/>
      <c r="D80" s="874"/>
      <c r="E80" s="858"/>
      <c r="F80" s="861"/>
      <c r="G80" s="861"/>
      <c r="H80" s="861"/>
      <c r="I80" s="861"/>
      <c r="J80" s="874"/>
      <c r="K80" s="874"/>
      <c r="L80" s="874"/>
      <c r="M80" s="874"/>
      <c r="N80" s="874"/>
      <c r="O80" s="874"/>
      <c r="P80" s="874"/>
      <c r="Q80" s="874"/>
      <c r="R80" s="874"/>
      <c r="S80" s="874"/>
    </row>
    <row r="81" spans="1:19">
      <c r="A81" s="2151"/>
      <c r="B81" s="2144" t="s">
        <v>5651</v>
      </c>
      <c r="C81" s="857"/>
      <c r="D81" s="874"/>
      <c r="E81" s="858"/>
      <c r="F81" s="861"/>
      <c r="G81" s="861"/>
      <c r="H81" s="861"/>
      <c r="I81" s="861"/>
      <c r="J81" s="874"/>
      <c r="K81" s="874"/>
      <c r="L81" s="874"/>
      <c r="M81" s="874"/>
      <c r="N81" s="874"/>
      <c r="O81" s="874"/>
      <c r="P81" s="874"/>
      <c r="Q81" s="874"/>
      <c r="R81" s="874"/>
      <c r="S81" s="874"/>
    </row>
    <row r="82" spans="1:19">
      <c r="A82" s="2151"/>
      <c r="B82" s="2144" t="s">
        <v>5652</v>
      </c>
      <c r="C82" s="857"/>
      <c r="D82" s="874"/>
      <c r="E82" s="858"/>
      <c r="F82" s="861"/>
      <c r="G82" s="861"/>
      <c r="H82" s="861"/>
      <c r="I82" s="861"/>
      <c r="J82" s="874"/>
      <c r="K82" s="874"/>
      <c r="L82" s="874"/>
      <c r="M82" s="874"/>
      <c r="N82" s="874"/>
      <c r="O82" s="874"/>
      <c r="P82" s="874"/>
      <c r="Q82" s="874"/>
      <c r="R82" s="874"/>
      <c r="S82" s="874"/>
    </row>
    <row r="83" spans="1:19">
      <c r="A83" s="2151"/>
      <c r="B83" s="2144" t="s">
        <v>5654</v>
      </c>
      <c r="C83" s="857"/>
      <c r="D83" s="874"/>
      <c r="E83" s="858"/>
      <c r="F83" s="861"/>
      <c r="G83" s="861"/>
      <c r="H83" s="861"/>
      <c r="I83" s="861"/>
      <c r="J83" s="874"/>
      <c r="K83" s="874"/>
      <c r="L83" s="874"/>
      <c r="M83" s="874"/>
      <c r="N83" s="874"/>
      <c r="O83" s="874"/>
      <c r="P83" s="874"/>
      <c r="Q83" s="874"/>
      <c r="R83" s="874"/>
      <c r="S83" s="874"/>
    </row>
    <row r="84" spans="1:19">
      <c r="A84" s="2151"/>
      <c r="B84" s="2144" t="s">
        <v>5655</v>
      </c>
      <c r="C84" s="857"/>
      <c r="D84" s="874"/>
      <c r="E84" s="858"/>
      <c r="F84" s="861"/>
      <c r="G84" s="861"/>
      <c r="H84" s="861"/>
      <c r="I84" s="861"/>
      <c r="J84" s="874"/>
      <c r="K84" s="874"/>
      <c r="L84" s="874"/>
      <c r="M84" s="874"/>
      <c r="N84" s="874"/>
      <c r="O84" s="874"/>
      <c r="P84" s="874"/>
      <c r="Q84" s="874"/>
      <c r="R84" s="874"/>
      <c r="S84" s="874"/>
    </row>
    <row r="85" spans="1:19">
      <c r="A85" s="2151"/>
      <c r="B85" s="2144" t="s">
        <v>5653</v>
      </c>
      <c r="C85" s="857"/>
      <c r="D85" s="874"/>
      <c r="E85" s="858"/>
      <c r="F85" s="861"/>
      <c r="G85" s="861"/>
      <c r="H85" s="861"/>
      <c r="I85" s="861"/>
      <c r="J85" s="874"/>
      <c r="K85" s="874"/>
      <c r="L85" s="874"/>
      <c r="M85" s="874"/>
      <c r="N85" s="874"/>
      <c r="O85" s="874"/>
      <c r="P85" s="874"/>
      <c r="Q85" s="874"/>
      <c r="R85" s="874"/>
      <c r="S85" s="874"/>
    </row>
    <row r="86" spans="1:19">
      <c r="A86" s="2151"/>
      <c r="B86" s="2144" t="s">
        <v>100</v>
      </c>
      <c r="C86" s="857"/>
      <c r="D86" s="874"/>
      <c r="E86" s="858"/>
      <c r="F86" s="861"/>
      <c r="G86" s="861"/>
      <c r="H86" s="861"/>
      <c r="I86" s="861"/>
      <c r="J86" s="874"/>
      <c r="K86" s="874"/>
      <c r="L86" s="874"/>
      <c r="M86" s="874"/>
      <c r="N86" s="874"/>
      <c r="O86" s="874"/>
      <c r="P86" s="874"/>
      <c r="Q86" s="874"/>
      <c r="R86" s="874"/>
      <c r="S86" s="874"/>
    </row>
    <row r="87" spans="1:19">
      <c r="A87" s="863" t="s">
        <v>310</v>
      </c>
      <c r="B87" s="863"/>
      <c r="C87" s="857"/>
      <c r="D87" s="874"/>
      <c r="E87" s="858"/>
      <c r="F87" s="861"/>
      <c r="G87" s="861"/>
      <c r="H87" s="861"/>
      <c r="I87" s="861"/>
      <c r="J87" s="874"/>
      <c r="K87" s="874"/>
      <c r="L87" s="874"/>
      <c r="M87" s="874"/>
      <c r="N87" s="874"/>
      <c r="O87" s="874"/>
      <c r="P87" s="874"/>
      <c r="Q87" s="874"/>
      <c r="R87" s="874"/>
      <c r="S87" s="874"/>
    </row>
    <row r="88" spans="1:19">
      <c r="A88" s="863"/>
      <c r="B88" s="863" t="s">
        <v>223</v>
      </c>
      <c r="C88" s="857"/>
      <c r="D88" s="874"/>
      <c r="E88" s="860"/>
      <c r="F88" s="861"/>
      <c r="G88" s="861"/>
      <c r="H88" s="861"/>
      <c r="I88" s="861"/>
      <c r="J88" s="874"/>
      <c r="K88" s="874"/>
      <c r="L88" s="874"/>
      <c r="M88" s="874"/>
      <c r="N88" s="874"/>
      <c r="O88" s="874"/>
      <c r="P88" s="874"/>
      <c r="Q88" s="874"/>
      <c r="R88" s="874"/>
      <c r="S88" s="874"/>
    </row>
    <row r="89" spans="1:19">
      <c r="A89" s="863"/>
      <c r="B89" s="863" t="s">
        <v>224</v>
      </c>
      <c r="C89" s="857"/>
      <c r="D89" s="874"/>
      <c r="E89" s="864"/>
      <c r="F89" s="861"/>
      <c r="G89" s="861"/>
      <c r="H89" s="861"/>
      <c r="I89" s="861"/>
      <c r="J89" s="874"/>
      <c r="K89" s="874"/>
      <c r="L89" s="874"/>
      <c r="M89" s="874"/>
      <c r="N89" s="874"/>
      <c r="O89" s="874"/>
      <c r="P89" s="874"/>
      <c r="Q89" s="874"/>
      <c r="R89" s="874"/>
      <c r="S89" s="874"/>
    </row>
    <row r="90" spans="1:19">
      <c r="A90" s="863"/>
      <c r="B90" s="863" t="s">
        <v>225</v>
      </c>
      <c r="C90" s="857"/>
      <c r="D90" s="874"/>
      <c r="E90" s="864"/>
      <c r="F90" s="861"/>
      <c r="G90" s="861"/>
      <c r="H90" s="861"/>
      <c r="I90" s="861"/>
      <c r="J90" s="874"/>
      <c r="K90" s="874"/>
      <c r="L90" s="874"/>
      <c r="M90" s="874"/>
      <c r="N90" s="874"/>
      <c r="O90" s="874"/>
      <c r="P90" s="874"/>
      <c r="Q90" s="874"/>
      <c r="R90" s="874"/>
      <c r="S90" s="874"/>
    </row>
    <row r="91" spans="1:19">
      <c r="A91" s="863"/>
      <c r="B91" s="863" t="s">
        <v>226</v>
      </c>
      <c r="C91" s="857"/>
      <c r="D91" s="874"/>
      <c r="E91" s="864"/>
      <c r="F91" s="861"/>
      <c r="G91" s="861"/>
      <c r="H91" s="861"/>
      <c r="I91" s="861"/>
      <c r="J91" s="874"/>
      <c r="K91" s="874"/>
      <c r="L91" s="874"/>
      <c r="M91" s="874"/>
      <c r="N91" s="874"/>
      <c r="O91" s="874"/>
      <c r="P91" s="874"/>
      <c r="Q91" s="874"/>
      <c r="R91" s="874"/>
      <c r="S91" s="874"/>
    </row>
    <row r="92" spans="1:19">
      <c r="A92" s="863"/>
      <c r="B92" s="863" t="s">
        <v>227</v>
      </c>
      <c r="C92" s="857"/>
      <c r="D92" s="874"/>
      <c r="E92" s="864"/>
      <c r="F92" s="861"/>
      <c r="G92" s="861"/>
      <c r="H92" s="861"/>
      <c r="I92" s="861"/>
      <c r="J92" s="874"/>
      <c r="K92" s="874"/>
      <c r="L92" s="874"/>
      <c r="M92" s="874"/>
      <c r="N92" s="874"/>
      <c r="O92" s="874"/>
      <c r="P92" s="874"/>
      <c r="Q92" s="874"/>
      <c r="R92" s="874"/>
      <c r="S92" s="874"/>
    </row>
    <row r="93" spans="1:19">
      <c r="A93" s="863"/>
      <c r="B93" s="863" t="s">
        <v>228</v>
      </c>
      <c r="C93" s="857"/>
      <c r="D93" s="874"/>
      <c r="E93" s="864"/>
      <c r="F93" s="861"/>
      <c r="G93" s="861"/>
      <c r="H93" s="861"/>
      <c r="I93" s="861"/>
      <c r="J93" s="874"/>
      <c r="K93" s="874"/>
      <c r="L93" s="874"/>
      <c r="M93" s="874"/>
      <c r="N93" s="874"/>
      <c r="O93" s="874"/>
      <c r="P93" s="874"/>
      <c r="Q93" s="874"/>
      <c r="R93" s="874"/>
      <c r="S93" s="874"/>
    </row>
    <row r="94" spans="1:19">
      <c r="A94" s="863"/>
      <c r="B94" s="863" t="s">
        <v>229</v>
      </c>
      <c r="C94" s="857"/>
      <c r="D94" s="874"/>
      <c r="E94" s="858"/>
      <c r="F94" s="861"/>
      <c r="G94" s="861"/>
      <c r="H94" s="861"/>
      <c r="I94" s="861"/>
      <c r="J94" s="874"/>
      <c r="K94" s="874"/>
      <c r="L94" s="874"/>
      <c r="M94" s="874"/>
      <c r="N94" s="874"/>
      <c r="O94" s="874"/>
      <c r="P94" s="874"/>
      <c r="Q94" s="874"/>
      <c r="R94" s="874"/>
      <c r="S94" s="874"/>
    </row>
    <row r="95" spans="1:19">
      <c r="A95" s="863"/>
      <c r="B95" s="863" t="s">
        <v>230</v>
      </c>
      <c r="C95" s="857"/>
      <c r="D95" s="874"/>
      <c r="E95" s="860"/>
      <c r="F95" s="861"/>
      <c r="G95" s="861"/>
      <c r="H95" s="861"/>
      <c r="I95" s="861"/>
      <c r="J95" s="874"/>
      <c r="K95" s="874"/>
      <c r="L95" s="874"/>
      <c r="M95" s="874"/>
      <c r="N95" s="874"/>
      <c r="O95" s="874"/>
      <c r="P95" s="874"/>
      <c r="Q95" s="874"/>
      <c r="R95" s="874"/>
      <c r="S95" s="874"/>
    </row>
    <row r="96" spans="1:19">
      <c r="A96" s="863"/>
      <c r="B96" s="863" t="s">
        <v>231</v>
      </c>
      <c r="C96" s="863"/>
      <c r="D96" s="860"/>
      <c r="E96" s="858"/>
      <c r="F96" s="861"/>
      <c r="G96" s="861"/>
      <c r="H96" s="861"/>
      <c r="I96" s="861"/>
      <c r="J96" s="874"/>
      <c r="K96" s="874"/>
      <c r="L96" s="874"/>
      <c r="M96" s="874"/>
      <c r="N96" s="874"/>
      <c r="O96" s="874"/>
      <c r="P96" s="874"/>
      <c r="Q96" s="874"/>
      <c r="R96" s="874"/>
      <c r="S96" s="874"/>
    </row>
    <row r="97" spans="1:19">
      <c r="A97" s="863"/>
      <c r="B97" s="863" t="s">
        <v>232</v>
      </c>
      <c r="C97" s="863"/>
      <c r="D97" s="860"/>
      <c r="E97" s="858"/>
      <c r="F97" s="861"/>
      <c r="G97" s="861"/>
      <c r="H97" s="861"/>
      <c r="I97" s="861"/>
      <c r="J97" s="874"/>
      <c r="K97" s="874"/>
      <c r="L97" s="874"/>
      <c r="M97" s="874"/>
      <c r="N97" s="874"/>
      <c r="O97" s="874"/>
      <c r="P97" s="874"/>
      <c r="Q97" s="874"/>
      <c r="R97" s="874"/>
      <c r="S97" s="874"/>
    </row>
    <row r="98" spans="1:19">
      <c r="A98" s="863"/>
      <c r="B98" s="863" t="s">
        <v>233</v>
      </c>
      <c r="C98" s="863"/>
      <c r="D98" s="860"/>
      <c r="E98" s="858"/>
      <c r="F98" s="861"/>
      <c r="G98" s="861"/>
      <c r="H98" s="861"/>
      <c r="I98" s="861"/>
      <c r="J98" s="874"/>
      <c r="K98" s="874"/>
      <c r="L98" s="874"/>
      <c r="M98" s="874"/>
      <c r="N98" s="874"/>
      <c r="O98" s="874"/>
      <c r="P98" s="874"/>
      <c r="Q98" s="874"/>
      <c r="R98" s="874"/>
      <c r="S98" s="874"/>
    </row>
    <row r="99" spans="1:19">
      <c r="A99" s="863"/>
      <c r="B99" s="863" t="s">
        <v>234</v>
      </c>
      <c r="C99" s="863"/>
      <c r="D99" s="860"/>
      <c r="E99" s="858"/>
      <c r="F99" s="861"/>
      <c r="G99" s="861"/>
      <c r="H99" s="861"/>
      <c r="I99" s="861"/>
      <c r="J99" s="874"/>
      <c r="K99" s="874"/>
      <c r="L99" s="874"/>
      <c r="M99" s="874"/>
      <c r="N99" s="874"/>
      <c r="O99" s="874"/>
      <c r="P99" s="874"/>
      <c r="Q99" s="874"/>
      <c r="R99" s="874"/>
      <c r="S99" s="874"/>
    </row>
    <row r="100" spans="1:19">
      <c r="A100" s="863"/>
      <c r="B100" s="863" t="s">
        <v>235</v>
      </c>
      <c r="C100" s="857"/>
      <c r="D100" s="860"/>
      <c r="E100" s="860"/>
      <c r="F100" s="858"/>
      <c r="G100" s="861"/>
      <c r="H100" s="861"/>
      <c r="I100" s="861"/>
      <c r="J100" s="874"/>
      <c r="K100" s="874"/>
      <c r="L100" s="874"/>
      <c r="M100" s="874"/>
      <c r="N100" s="874"/>
      <c r="O100" s="874"/>
      <c r="P100" s="874"/>
      <c r="Q100" s="874"/>
      <c r="R100" s="874"/>
      <c r="S100" s="874"/>
    </row>
    <row r="101" spans="1:19">
      <c r="A101" s="863"/>
      <c r="B101" s="863" t="s">
        <v>236</v>
      </c>
      <c r="C101" s="857"/>
      <c r="D101" s="860"/>
      <c r="E101" s="860"/>
      <c r="F101" s="858"/>
      <c r="G101" s="861"/>
      <c r="H101" s="861"/>
      <c r="I101" s="861"/>
      <c r="J101" s="874"/>
      <c r="K101" s="874"/>
      <c r="L101" s="874"/>
      <c r="M101" s="874"/>
      <c r="N101" s="874"/>
      <c r="O101" s="874"/>
      <c r="P101" s="874"/>
      <c r="Q101" s="874"/>
      <c r="R101" s="874"/>
      <c r="S101" s="874"/>
    </row>
    <row r="102" spans="1:19">
      <c r="A102" s="863"/>
      <c r="B102" s="863" t="s">
        <v>237</v>
      </c>
      <c r="C102" s="857"/>
      <c r="D102" s="860"/>
      <c r="E102" s="860"/>
      <c r="F102" s="858"/>
      <c r="G102" s="861"/>
      <c r="H102" s="861"/>
      <c r="I102" s="861"/>
      <c r="J102" s="874"/>
      <c r="K102" s="874"/>
      <c r="L102" s="874"/>
      <c r="M102" s="874"/>
      <c r="N102" s="874"/>
      <c r="O102" s="874"/>
      <c r="P102" s="874"/>
      <c r="Q102" s="874"/>
      <c r="R102" s="874"/>
      <c r="S102" s="874"/>
    </row>
    <row r="103" spans="1:19">
      <c r="A103" s="863"/>
      <c r="B103" s="863" t="s">
        <v>238</v>
      </c>
      <c r="C103" s="857"/>
      <c r="D103" s="860"/>
      <c r="E103" s="860"/>
      <c r="F103" s="858"/>
      <c r="G103" s="861"/>
      <c r="H103" s="861"/>
      <c r="I103" s="861"/>
      <c r="J103" s="874"/>
      <c r="K103" s="874"/>
      <c r="L103" s="874"/>
      <c r="M103" s="874"/>
      <c r="N103" s="874"/>
      <c r="O103" s="874"/>
      <c r="P103" s="874"/>
      <c r="Q103" s="874"/>
      <c r="R103" s="874"/>
      <c r="S103" s="874"/>
    </row>
    <row r="104" spans="1:19">
      <c r="A104" s="863"/>
      <c r="B104" s="863" t="s">
        <v>239</v>
      </c>
      <c r="C104" s="857"/>
      <c r="D104" s="874"/>
      <c r="E104" s="874"/>
      <c r="F104" s="874"/>
      <c r="G104" s="874"/>
      <c r="H104" s="874"/>
      <c r="I104" s="874"/>
      <c r="J104" s="874"/>
      <c r="K104" s="874"/>
      <c r="L104" s="874"/>
      <c r="M104" s="874"/>
      <c r="N104" s="874"/>
      <c r="O104" s="874"/>
      <c r="P104" s="874"/>
      <c r="Q104" s="874"/>
      <c r="R104" s="874"/>
      <c r="S104" s="874"/>
    </row>
    <row r="105" spans="1:19">
      <c r="A105" s="863"/>
      <c r="B105" s="863" t="s">
        <v>240</v>
      </c>
      <c r="C105" s="857"/>
      <c r="D105" s="874"/>
      <c r="E105" s="874"/>
      <c r="F105" s="874"/>
      <c r="G105" s="874"/>
      <c r="H105" s="874"/>
      <c r="I105" s="874"/>
      <c r="J105" s="874"/>
      <c r="K105" s="874"/>
      <c r="L105" s="874"/>
      <c r="M105" s="874"/>
      <c r="N105" s="874"/>
      <c r="O105" s="874"/>
      <c r="P105" s="874"/>
      <c r="Q105" s="874"/>
      <c r="R105" s="874"/>
      <c r="S105" s="874"/>
    </row>
    <row r="106" spans="1:19">
      <c r="A106" s="863"/>
      <c r="B106" s="863" t="s">
        <v>241</v>
      </c>
      <c r="C106" s="857"/>
      <c r="D106" s="874"/>
      <c r="E106" s="874"/>
      <c r="F106" s="874"/>
      <c r="G106" s="874"/>
      <c r="H106" s="874"/>
      <c r="I106" s="874"/>
      <c r="J106" s="874"/>
      <c r="K106" s="874"/>
      <c r="L106" s="874"/>
      <c r="M106" s="874"/>
      <c r="N106" s="874"/>
      <c r="O106" s="874"/>
      <c r="P106" s="874"/>
      <c r="Q106" s="874"/>
      <c r="R106" s="874"/>
      <c r="S106" s="874"/>
    </row>
    <row r="107" spans="1:19">
      <c r="A107" s="863"/>
      <c r="B107" s="863" t="s">
        <v>242</v>
      </c>
      <c r="C107" s="857"/>
      <c r="D107" s="874"/>
      <c r="E107" s="874"/>
      <c r="F107" s="874"/>
      <c r="G107" s="874"/>
      <c r="H107" s="874"/>
      <c r="I107" s="874"/>
      <c r="J107" s="874"/>
      <c r="K107" s="874"/>
      <c r="L107" s="874"/>
      <c r="M107" s="874"/>
      <c r="N107" s="874"/>
      <c r="O107" s="874"/>
      <c r="P107" s="874"/>
      <c r="Q107" s="874"/>
      <c r="R107" s="874"/>
      <c r="S107" s="874"/>
    </row>
    <row r="108" spans="1:19">
      <c r="A108" s="863"/>
      <c r="B108" s="863" t="s">
        <v>243</v>
      </c>
      <c r="C108" s="857"/>
      <c r="D108" s="874"/>
      <c r="E108" s="874"/>
      <c r="F108" s="874"/>
      <c r="G108" s="874"/>
      <c r="H108" s="874"/>
      <c r="I108" s="874"/>
      <c r="J108" s="874"/>
      <c r="K108" s="874"/>
      <c r="L108" s="874"/>
      <c r="M108" s="874"/>
      <c r="N108" s="874"/>
      <c r="O108" s="874"/>
      <c r="P108" s="874"/>
      <c r="Q108" s="874"/>
      <c r="R108" s="874"/>
      <c r="S108" s="874"/>
    </row>
    <row r="109" spans="1:19">
      <c r="A109" s="863"/>
      <c r="B109" s="863" t="s">
        <v>244</v>
      </c>
      <c r="C109" s="857"/>
      <c r="D109" s="874"/>
      <c r="E109" s="874"/>
      <c r="F109" s="874"/>
      <c r="G109" s="874"/>
      <c r="H109" s="874"/>
      <c r="I109" s="874"/>
      <c r="J109" s="874"/>
      <c r="K109" s="874"/>
      <c r="L109" s="874"/>
      <c r="M109" s="874"/>
      <c r="N109" s="874"/>
      <c r="O109" s="874"/>
      <c r="P109" s="874"/>
      <c r="Q109" s="874"/>
      <c r="R109" s="874"/>
      <c r="S109" s="874"/>
    </row>
    <row r="110" spans="1:19">
      <c r="A110" s="863"/>
      <c r="B110" s="863" t="s">
        <v>245</v>
      </c>
      <c r="C110" s="857"/>
      <c r="D110" s="874"/>
      <c r="E110" s="874"/>
      <c r="F110" s="874"/>
      <c r="G110" s="874"/>
      <c r="H110" s="874"/>
      <c r="I110" s="874"/>
      <c r="J110" s="874"/>
      <c r="K110" s="874"/>
      <c r="L110" s="874"/>
      <c r="M110" s="874"/>
      <c r="N110" s="874"/>
      <c r="O110" s="874"/>
      <c r="P110" s="874"/>
      <c r="Q110" s="874"/>
      <c r="R110" s="874"/>
      <c r="S110" s="874"/>
    </row>
    <row r="111" spans="1:19">
      <c r="A111" s="863"/>
      <c r="B111" s="863" t="s">
        <v>246</v>
      </c>
      <c r="C111" s="857"/>
      <c r="D111" s="874"/>
      <c r="E111" s="874"/>
      <c r="F111" s="874"/>
      <c r="G111" s="874"/>
      <c r="H111" s="874"/>
      <c r="I111" s="874"/>
      <c r="J111" s="874"/>
      <c r="K111" s="874"/>
      <c r="L111" s="874"/>
      <c r="M111" s="874"/>
      <c r="N111" s="874"/>
      <c r="O111" s="874"/>
      <c r="P111" s="874"/>
      <c r="Q111" s="874"/>
      <c r="R111" s="874"/>
      <c r="S111" s="874"/>
    </row>
    <row r="112" spans="1:19">
      <c r="A112" s="863"/>
      <c r="B112" s="863" t="s">
        <v>247</v>
      </c>
      <c r="C112" s="857"/>
      <c r="D112" s="874"/>
      <c r="E112" s="874"/>
      <c r="F112" s="874"/>
      <c r="G112" s="874"/>
      <c r="H112" s="874"/>
      <c r="I112" s="874"/>
      <c r="J112" s="874"/>
      <c r="K112" s="874"/>
      <c r="L112" s="874"/>
      <c r="M112" s="874"/>
      <c r="N112" s="874"/>
      <c r="O112" s="874"/>
      <c r="P112" s="874"/>
      <c r="Q112" s="874"/>
      <c r="R112" s="874"/>
      <c r="S112" s="874"/>
    </row>
    <row r="113" spans="1:19">
      <c r="A113" s="863"/>
      <c r="B113" s="863" t="s">
        <v>248</v>
      </c>
      <c r="C113" s="857"/>
      <c r="D113" s="874"/>
      <c r="E113" s="874"/>
      <c r="F113" s="874"/>
      <c r="G113" s="874"/>
      <c r="H113" s="874"/>
      <c r="I113" s="874"/>
      <c r="J113" s="874"/>
      <c r="K113" s="874"/>
      <c r="L113" s="874"/>
      <c r="M113" s="874"/>
      <c r="N113" s="874"/>
      <c r="O113" s="874"/>
      <c r="P113" s="874"/>
      <c r="Q113" s="874"/>
      <c r="R113" s="874"/>
      <c r="S113" s="874"/>
    </row>
    <row r="114" spans="1:19">
      <c r="A114" s="863"/>
      <c r="B114" s="863" t="s">
        <v>249</v>
      </c>
      <c r="C114" s="857"/>
      <c r="D114" s="874"/>
      <c r="E114" s="874"/>
      <c r="F114" s="874"/>
      <c r="G114" s="874"/>
      <c r="H114" s="874"/>
      <c r="I114" s="874"/>
      <c r="J114" s="874"/>
      <c r="K114" s="874"/>
      <c r="L114" s="874"/>
      <c r="M114" s="874"/>
      <c r="N114" s="874"/>
      <c r="O114" s="874"/>
      <c r="P114" s="874"/>
      <c r="Q114" s="874"/>
      <c r="R114" s="874"/>
      <c r="S114" s="874"/>
    </row>
    <row r="115" spans="1:19">
      <c r="A115" s="863"/>
      <c r="B115" s="863" t="s">
        <v>250</v>
      </c>
      <c r="C115" s="857"/>
      <c r="D115" s="874"/>
      <c r="E115" s="874"/>
      <c r="F115" s="874"/>
      <c r="G115" s="874"/>
      <c r="H115" s="874"/>
      <c r="I115" s="874"/>
      <c r="J115" s="874"/>
      <c r="K115" s="874"/>
      <c r="L115" s="874"/>
      <c r="M115" s="874"/>
      <c r="N115" s="874"/>
      <c r="O115" s="874"/>
      <c r="P115" s="874"/>
      <c r="Q115" s="874"/>
      <c r="R115" s="874"/>
      <c r="S115" s="874"/>
    </row>
    <row r="116" spans="1:19">
      <c r="A116" s="863"/>
      <c r="B116" s="863" t="s">
        <v>251</v>
      </c>
      <c r="C116" s="857"/>
      <c r="D116" s="874"/>
      <c r="E116" s="874"/>
      <c r="F116" s="874"/>
      <c r="G116" s="874"/>
      <c r="H116" s="874"/>
      <c r="I116" s="874"/>
      <c r="J116" s="874"/>
      <c r="K116" s="874"/>
      <c r="L116" s="874"/>
      <c r="M116" s="874"/>
      <c r="N116" s="874"/>
      <c r="O116" s="874"/>
      <c r="P116" s="874"/>
      <c r="Q116" s="874"/>
      <c r="R116" s="874"/>
      <c r="S116" s="874"/>
    </row>
    <row r="117" spans="1:19">
      <c r="A117" s="863"/>
      <c r="B117" s="863" t="s">
        <v>252</v>
      </c>
      <c r="C117" s="857"/>
      <c r="D117" s="874"/>
      <c r="E117" s="874"/>
      <c r="F117" s="874"/>
      <c r="G117" s="874"/>
      <c r="H117" s="874"/>
      <c r="I117" s="874"/>
      <c r="J117" s="874"/>
      <c r="K117" s="874"/>
      <c r="L117" s="874"/>
      <c r="M117" s="874"/>
      <c r="N117" s="874"/>
      <c r="O117" s="874"/>
      <c r="P117" s="874"/>
      <c r="Q117" s="874"/>
      <c r="R117" s="874"/>
      <c r="S117" s="874"/>
    </row>
    <row r="118" spans="1:19">
      <c r="A118" s="863"/>
      <c r="B118" s="863" t="s">
        <v>253</v>
      </c>
      <c r="C118" s="857"/>
      <c r="D118" s="874"/>
      <c r="E118" s="874"/>
      <c r="F118" s="874"/>
      <c r="G118" s="874"/>
      <c r="H118" s="874"/>
      <c r="I118" s="874"/>
      <c r="J118" s="874"/>
      <c r="K118" s="874"/>
      <c r="L118" s="874"/>
      <c r="M118" s="874"/>
      <c r="N118" s="874"/>
      <c r="O118" s="874"/>
      <c r="P118" s="874"/>
      <c r="Q118" s="874"/>
      <c r="R118" s="874"/>
      <c r="S118" s="874"/>
    </row>
    <row r="119" spans="1:19">
      <c r="A119" s="863"/>
      <c r="B119" s="863" t="s">
        <v>254</v>
      </c>
      <c r="C119" s="857"/>
      <c r="D119" s="874"/>
      <c r="E119" s="874"/>
      <c r="F119" s="874"/>
      <c r="G119" s="874"/>
      <c r="H119" s="874"/>
      <c r="I119" s="874"/>
      <c r="J119" s="874"/>
      <c r="K119" s="874"/>
      <c r="L119" s="874"/>
      <c r="M119" s="874"/>
      <c r="N119" s="874"/>
      <c r="O119" s="874"/>
      <c r="P119" s="874"/>
      <c r="Q119" s="874"/>
      <c r="R119" s="874"/>
      <c r="S119" s="874"/>
    </row>
    <row r="120" spans="1:19">
      <c r="A120" s="863"/>
      <c r="B120" s="863" t="s">
        <v>255</v>
      </c>
      <c r="C120" s="857"/>
      <c r="D120" s="874"/>
      <c r="E120" s="874"/>
      <c r="F120" s="874"/>
      <c r="G120" s="874"/>
      <c r="H120" s="874"/>
      <c r="I120" s="874"/>
      <c r="J120" s="874"/>
      <c r="K120" s="874"/>
      <c r="L120" s="874"/>
      <c r="M120" s="874"/>
      <c r="N120" s="874"/>
      <c r="O120" s="874"/>
      <c r="P120" s="874"/>
      <c r="Q120" s="874"/>
      <c r="R120" s="874"/>
      <c r="S120" s="874"/>
    </row>
    <row r="121" spans="1:19">
      <c r="A121" s="863"/>
      <c r="B121" s="863" t="s">
        <v>256</v>
      </c>
      <c r="C121" s="857"/>
      <c r="D121" s="874"/>
      <c r="E121" s="874"/>
      <c r="F121" s="874"/>
      <c r="G121" s="874"/>
      <c r="H121" s="874"/>
      <c r="I121" s="874"/>
      <c r="J121" s="874"/>
      <c r="K121" s="874"/>
      <c r="L121" s="874"/>
      <c r="M121" s="874"/>
      <c r="N121" s="874"/>
      <c r="O121" s="874"/>
      <c r="P121" s="874"/>
      <c r="Q121" s="874"/>
      <c r="R121" s="874"/>
      <c r="S121" s="874"/>
    </row>
    <row r="122" spans="1:19">
      <c r="A122" s="863"/>
      <c r="B122" s="863" t="s">
        <v>257</v>
      </c>
      <c r="C122" s="857"/>
      <c r="D122" s="874"/>
      <c r="E122" s="874"/>
      <c r="F122" s="874"/>
      <c r="G122" s="874"/>
      <c r="H122" s="874"/>
      <c r="I122" s="874"/>
      <c r="J122" s="874"/>
      <c r="K122" s="874"/>
      <c r="L122" s="874"/>
      <c r="M122" s="874"/>
      <c r="N122" s="874"/>
      <c r="O122" s="874"/>
      <c r="P122" s="874"/>
      <c r="Q122" s="874"/>
      <c r="R122" s="874"/>
      <c r="S122" s="874"/>
    </row>
    <row r="123" spans="1:19">
      <c r="A123" s="863"/>
      <c r="B123" s="863" t="s">
        <v>258</v>
      </c>
      <c r="C123" s="857"/>
      <c r="D123" s="874"/>
      <c r="E123" s="874"/>
      <c r="F123" s="874"/>
      <c r="G123" s="874"/>
      <c r="H123" s="874"/>
      <c r="I123" s="874"/>
      <c r="J123" s="874"/>
      <c r="K123" s="874"/>
      <c r="L123" s="874"/>
      <c r="M123" s="874"/>
      <c r="N123" s="874"/>
      <c r="O123" s="874"/>
      <c r="P123" s="874"/>
      <c r="Q123" s="874"/>
      <c r="R123" s="874"/>
      <c r="S123" s="874"/>
    </row>
    <row r="124" spans="1:19">
      <c r="A124" s="863"/>
      <c r="B124" s="863" t="s">
        <v>259</v>
      </c>
      <c r="C124" s="857"/>
      <c r="D124" s="874"/>
      <c r="E124" s="874"/>
      <c r="F124" s="874"/>
      <c r="G124" s="874"/>
      <c r="H124" s="874"/>
      <c r="I124" s="874"/>
      <c r="J124" s="874"/>
      <c r="K124" s="874"/>
      <c r="L124" s="874"/>
      <c r="M124" s="874"/>
      <c r="N124" s="874"/>
      <c r="O124" s="874"/>
      <c r="P124" s="874"/>
      <c r="Q124" s="874"/>
      <c r="R124" s="874"/>
      <c r="S124" s="874"/>
    </row>
    <row r="125" spans="1:19">
      <c r="A125" s="863"/>
      <c r="B125" s="863" t="s">
        <v>260</v>
      </c>
      <c r="C125" s="857"/>
      <c r="D125" s="874"/>
      <c r="E125" s="874"/>
      <c r="F125" s="874"/>
      <c r="G125" s="874"/>
      <c r="H125" s="874"/>
      <c r="I125" s="874"/>
      <c r="J125" s="874"/>
      <c r="K125" s="874"/>
      <c r="L125" s="874"/>
      <c r="M125" s="874"/>
      <c r="N125" s="874"/>
      <c r="O125" s="874"/>
      <c r="P125" s="874"/>
      <c r="Q125" s="874"/>
      <c r="R125" s="874"/>
      <c r="S125" s="874"/>
    </row>
    <row r="126" spans="1:19">
      <c r="A126" s="863"/>
      <c r="B126" s="863" t="s">
        <v>261</v>
      </c>
      <c r="C126" s="857"/>
      <c r="D126" s="874"/>
      <c r="E126" s="874"/>
      <c r="F126" s="874"/>
      <c r="G126" s="874"/>
      <c r="H126" s="874"/>
      <c r="I126" s="874"/>
      <c r="J126" s="874"/>
      <c r="K126" s="874"/>
      <c r="L126" s="874"/>
      <c r="M126" s="874"/>
      <c r="N126" s="874"/>
      <c r="O126" s="874"/>
      <c r="P126" s="874"/>
      <c r="Q126" s="874"/>
      <c r="R126" s="874"/>
      <c r="S126" s="874"/>
    </row>
    <row r="127" spans="1:19">
      <c r="A127" s="863"/>
      <c r="B127" s="863" t="s">
        <v>262</v>
      </c>
      <c r="C127" s="857"/>
      <c r="D127" s="874"/>
      <c r="E127" s="874"/>
      <c r="F127" s="874"/>
      <c r="G127" s="874"/>
      <c r="H127" s="874"/>
      <c r="I127" s="874"/>
      <c r="J127" s="874"/>
      <c r="K127" s="874"/>
      <c r="L127" s="874"/>
      <c r="M127" s="874"/>
      <c r="N127" s="874"/>
      <c r="O127" s="874"/>
      <c r="P127" s="874"/>
      <c r="Q127" s="874"/>
      <c r="R127" s="874"/>
      <c r="S127" s="874"/>
    </row>
    <row r="128" spans="1:19">
      <c r="A128" s="863"/>
      <c r="B128" s="863" t="s">
        <v>263</v>
      </c>
      <c r="C128" s="857"/>
      <c r="D128" s="874"/>
      <c r="E128" s="874"/>
      <c r="F128" s="874"/>
      <c r="G128" s="874"/>
      <c r="H128" s="874"/>
      <c r="I128" s="874"/>
      <c r="J128" s="874"/>
      <c r="K128" s="874"/>
      <c r="L128" s="874"/>
      <c r="M128" s="874"/>
      <c r="N128" s="874"/>
      <c r="O128" s="874"/>
      <c r="P128" s="874"/>
      <c r="Q128" s="874"/>
      <c r="R128" s="874"/>
      <c r="S128" s="874"/>
    </row>
    <row r="129" spans="1:19">
      <c r="A129" s="863"/>
      <c r="B129" s="863" t="s">
        <v>264</v>
      </c>
      <c r="C129" s="857"/>
      <c r="D129" s="874"/>
      <c r="E129" s="874"/>
      <c r="F129" s="874"/>
      <c r="G129" s="874"/>
      <c r="H129" s="874"/>
      <c r="I129" s="874"/>
      <c r="J129" s="874"/>
      <c r="K129" s="874"/>
      <c r="L129" s="874"/>
      <c r="M129" s="874"/>
      <c r="N129" s="874"/>
      <c r="O129" s="874"/>
      <c r="P129" s="874"/>
      <c r="Q129" s="874"/>
      <c r="R129" s="874"/>
      <c r="S129" s="874"/>
    </row>
    <row r="130" spans="1:19">
      <c r="A130" s="863"/>
      <c r="B130" s="863" t="s">
        <v>265</v>
      </c>
      <c r="C130" s="857"/>
      <c r="D130" s="874"/>
      <c r="E130" s="874"/>
      <c r="F130" s="874"/>
      <c r="G130" s="874"/>
      <c r="H130" s="874"/>
      <c r="I130" s="874"/>
      <c r="J130" s="874"/>
      <c r="K130" s="874"/>
      <c r="L130" s="874"/>
      <c r="M130" s="874"/>
      <c r="N130" s="874"/>
      <c r="O130" s="874"/>
      <c r="P130" s="874"/>
      <c r="Q130" s="874"/>
      <c r="R130" s="874"/>
      <c r="S130" s="874"/>
    </row>
    <row r="131" spans="1:19">
      <c r="A131" s="863"/>
      <c r="B131" s="863" t="s">
        <v>266</v>
      </c>
      <c r="C131" s="857"/>
      <c r="D131" s="874"/>
      <c r="E131" s="874"/>
      <c r="F131" s="874"/>
      <c r="G131" s="874"/>
      <c r="H131" s="874"/>
      <c r="I131" s="874"/>
      <c r="J131" s="874"/>
      <c r="K131" s="874"/>
      <c r="L131" s="874"/>
      <c r="M131" s="874"/>
      <c r="N131" s="874"/>
      <c r="O131" s="874"/>
      <c r="P131" s="874"/>
      <c r="Q131" s="874"/>
      <c r="R131" s="874"/>
      <c r="S131" s="874"/>
    </row>
    <row r="132" spans="1:19">
      <c r="A132" s="863"/>
      <c r="B132" s="863" t="s">
        <v>267</v>
      </c>
      <c r="C132" s="857"/>
      <c r="D132" s="874"/>
      <c r="E132" s="874"/>
      <c r="F132" s="874"/>
      <c r="G132" s="874"/>
      <c r="H132" s="874"/>
      <c r="I132" s="874"/>
      <c r="J132" s="874"/>
      <c r="K132" s="874"/>
      <c r="L132" s="874"/>
      <c r="M132" s="874"/>
      <c r="N132" s="874"/>
      <c r="O132" s="874"/>
      <c r="P132" s="874"/>
      <c r="Q132" s="874"/>
      <c r="R132" s="874"/>
      <c r="S132" s="874"/>
    </row>
    <row r="133" spans="1:19">
      <c r="A133" s="863"/>
      <c r="B133" s="863" t="s">
        <v>268</v>
      </c>
      <c r="C133" s="857"/>
      <c r="D133" s="874"/>
      <c r="E133" s="874"/>
      <c r="F133" s="874"/>
      <c r="G133" s="874"/>
      <c r="H133" s="874"/>
      <c r="I133" s="874"/>
      <c r="J133" s="874"/>
      <c r="K133" s="874"/>
      <c r="L133" s="874"/>
      <c r="M133" s="874"/>
      <c r="N133" s="874"/>
      <c r="O133" s="874"/>
      <c r="P133" s="874"/>
      <c r="Q133" s="874"/>
      <c r="R133" s="874"/>
      <c r="S133" s="874"/>
    </row>
    <row r="134" spans="1:19">
      <c r="A134" s="863"/>
      <c r="B134" s="863" t="s">
        <v>269</v>
      </c>
      <c r="C134" s="857"/>
      <c r="D134" s="874"/>
      <c r="E134" s="874"/>
      <c r="F134" s="874"/>
      <c r="G134" s="874"/>
      <c r="H134" s="874"/>
      <c r="I134" s="874"/>
      <c r="J134" s="874"/>
      <c r="K134" s="874"/>
      <c r="L134" s="874"/>
      <c r="M134" s="874"/>
      <c r="N134" s="874"/>
      <c r="O134" s="874"/>
      <c r="P134" s="874"/>
      <c r="Q134" s="874"/>
      <c r="R134" s="874"/>
      <c r="S134" s="874"/>
    </row>
    <row r="135" spans="1:19">
      <c r="A135" s="863"/>
      <c r="B135" s="863" t="s">
        <v>270</v>
      </c>
      <c r="C135" s="857"/>
      <c r="D135" s="874"/>
      <c r="E135" s="874"/>
      <c r="F135" s="874"/>
      <c r="G135" s="874"/>
      <c r="H135" s="874"/>
      <c r="I135" s="874"/>
      <c r="J135" s="874"/>
      <c r="K135" s="874"/>
      <c r="L135" s="874"/>
      <c r="M135" s="874"/>
      <c r="N135" s="874"/>
      <c r="O135" s="874"/>
      <c r="P135" s="874"/>
      <c r="Q135" s="874"/>
      <c r="R135" s="874"/>
      <c r="S135" s="874"/>
    </row>
    <row r="136" spans="1:19">
      <c r="A136" s="863"/>
      <c r="B136" s="863" t="s">
        <v>271</v>
      </c>
      <c r="C136" s="857"/>
      <c r="D136" s="874"/>
      <c r="E136" s="874"/>
      <c r="F136" s="874"/>
      <c r="G136" s="874"/>
      <c r="H136" s="874"/>
      <c r="I136" s="874"/>
      <c r="J136" s="874"/>
      <c r="K136" s="874"/>
      <c r="L136" s="874"/>
      <c r="M136" s="874"/>
      <c r="N136" s="874"/>
      <c r="O136" s="874"/>
      <c r="P136" s="874"/>
      <c r="Q136" s="874"/>
      <c r="R136" s="874"/>
      <c r="S136" s="874"/>
    </row>
    <row r="137" spans="1:19">
      <c r="A137" s="863"/>
      <c r="B137" s="863" t="s">
        <v>272</v>
      </c>
      <c r="C137" s="857"/>
      <c r="D137" s="874"/>
      <c r="E137" s="874"/>
      <c r="F137" s="874"/>
      <c r="G137" s="874"/>
      <c r="H137" s="874"/>
      <c r="I137" s="874"/>
      <c r="J137" s="874"/>
      <c r="K137" s="874"/>
      <c r="L137" s="874"/>
      <c r="M137" s="874"/>
      <c r="N137" s="874"/>
      <c r="O137" s="874"/>
      <c r="P137" s="874"/>
      <c r="Q137" s="874"/>
      <c r="R137" s="874"/>
      <c r="S137" s="874"/>
    </row>
    <row r="138" spans="1:19">
      <c r="A138" s="863"/>
      <c r="B138" s="863" t="s">
        <v>273</v>
      </c>
      <c r="C138" s="857"/>
      <c r="D138" s="874"/>
      <c r="E138" s="874"/>
      <c r="F138" s="874"/>
      <c r="G138" s="874"/>
      <c r="H138" s="874"/>
      <c r="I138" s="874"/>
      <c r="J138" s="874"/>
      <c r="K138" s="874"/>
      <c r="L138" s="874"/>
      <c r="M138" s="874"/>
      <c r="N138" s="874"/>
      <c r="O138" s="874"/>
      <c r="P138" s="874"/>
      <c r="Q138" s="874"/>
      <c r="R138" s="874"/>
      <c r="S138" s="874"/>
    </row>
    <row r="139" spans="1:19">
      <c r="A139" s="863"/>
      <c r="B139" s="863" t="s">
        <v>92</v>
      </c>
      <c r="C139" s="857"/>
      <c r="D139" s="874"/>
      <c r="E139" s="874"/>
      <c r="F139" s="874"/>
      <c r="G139" s="874"/>
      <c r="H139" s="874"/>
      <c r="I139" s="874"/>
      <c r="J139" s="874"/>
      <c r="K139" s="874"/>
      <c r="L139" s="874"/>
      <c r="M139" s="874"/>
      <c r="N139" s="874"/>
      <c r="O139" s="874"/>
      <c r="P139" s="874"/>
      <c r="Q139" s="874"/>
      <c r="R139" s="874"/>
      <c r="S139" s="874"/>
    </row>
    <row r="140" spans="1:19">
      <c r="A140" s="863"/>
      <c r="B140" s="863" t="s">
        <v>93</v>
      </c>
      <c r="C140" s="857"/>
      <c r="D140" s="874"/>
      <c r="E140" s="874"/>
      <c r="F140" s="874"/>
      <c r="G140" s="874"/>
      <c r="H140" s="874"/>
      <c r="I140" s="874"/>
      <c r="J140" s="874"/>
      <c r="K140" s="874"/>
      <c r="L140" s="874"/>
      <c r="M140" s="874"/>
      <c r="N140" s="874"/>
      <c r="O140" s="874"/>
      <c r="P140" s="874"/>
      <c r="Q140" s="874"/>
      <c r="R140" s="874"/>
      <c r="S140" s="874"/>
    </row>
    <row r="141" spans="1:19">
      <c r="A141" s="863"/>
      <c r="B141" s="863" t="s">
        <v>94</v>
      </c>
      <c r="C141" s="857"/>
      <c r="D141" s="874"/>
      <c r="E141" s="874"/>
      <c r="F141" s="874"/>
      <c r="G141" s="874"/>
      <c r="H141" s="874"/>
      <c r="I141" s="874"/>
      <c r="J141" s="874"/>
      <c r="K141" s="874"/>
      <c r="L141" s="874"/>
      <c r="M141" s="874"/>
      <c r="N141" s="874"/>
      <c r="O141" s="874"/>
      <c r="P141" s="874"/>
      <c r="Q141" s="874"/>
      <c r="R141" s="874"/>
      <c r="S141" s="874"/>
    </row>
    <row r="142" spans="1:19">
      <c r="A142" s="863"/>
      <c r="B142" s="863" t="s">
        <v>95</v>
      </c>
      <c r="C142" s="857"/>
      <c r="D142" s="874"/>
      <c r="E142" s="874"/>
      <c r="F142" s="874"/>
      <c r="G142" s="874"/>
      <c r="H142" s="874"/>
      <c r="I142" s="874"/>
      <c r="J142" s="874"/>
      <c r="K142" s="874"/>
      <c r="L142" s="874"/>
      <c r="M142" s="874"/>
      <c r="N142" s="874"/>
      <c r="O142" s="874"/>
      <c r="P142" s="874"/>
      <c r="Q142" s="874"/>
      <c r="R142" s="874"/>
      <c r="S142" s="874"/>
    </row>
    <row r="143" spans="1:19">
      <c r="A143" s="863"/>
      <c r="B143" s="863" t="s">
        <v>96</v>
      </c>
      <c r="C143" s="857"/>
      <c r="D143" s="874"/>
      <c r="E143" s="874"/>
      <c r="F143" s="874"/>
      <c r="G143" s="874"/>
      <c r="H143" s="874"/>
      <c r="I143" s="874"/>
      <c r="J143" s="874"/>
      <c r="K143" s="874"/>
      <c r="L143" s="874"/>
      <c r="M143" s="874"/>
      <c r="N143" s="874"/>
      <c r="O143" s="874"/>
      <c r="P143" s="874"/>
      <c r="Q143" s="874"/>
      <c r="R143" s="874"/>
      <c r="S143" s="874"/>
    </row>
    <row r="144" spans="1:19">
      <c r="A144" s="863"/>
      <c r="B144" s="863" t="s">
        <v>97</v>
      </c>
      <c r="C144" s="857"/>
      <c r="D144" s="874"/>
      <c r="E144" s="874"/>
      <c r="F144" s="874"/>
      <c r="G144" s="874"/>
      <c r="H144" s="874"/>
      <c r="I144" s="874"/>
      <c r="J144" s="874"/>
      <c r="K144" s="874"/>
      <c r="L144" s="874"/>
      <c r="M144" s="874"/>
      <c r="N144" s="874"/>
      <c r="O144" s="874"/>
      <c r="P144" s="874"/>
      <c r="Q144" s="874"/>
      <c r="R144" s="874"/>
      <c r="S144" s="874"/>
    </row>
    <row r="145" spans="1:19">
      <c r="A145" s="863"/>
      <c r="B145" s="863" t="s">
        <v>98</v>
      </c>
      <c r="C145" s="857"/>
      <c r="D145" s="874"/>
      <c r="E145" s="874"/>
      <c r="F145" s="874"/>
      <c r="G145" s="874"/>
      <c r="H145" s="874"/>
      <c r="I145" s="874"/>
      <c r="J145" s="874"/>
      <c r="K145" s="874"/>
      <c r="L145" s="874"/>
      <c r="M145" s="874"/>
      <c r="N145" s="874"/>
      <c r="O145" s="874"/>
      <c r="P145" s="874"/>
      <c r="Q145" s="874"/>
      <c r="R145" s="874"/>
      <c r="S145" s="874"/>
    </row>
    <row r="146" spans="1:19">
      <c r="A146" s="863"/>
      <c r="B146" s="863" t="s">
        <v>99</v>
      </c>
      <c r="C146" s="857"/>
      <c r="D146" s="874"/>
      <c r="E146" s="874"/>
      <c r="F146" s="874"/>
      <c r="G146" s="874"/>
      <c r="H146" s="874"/>
      <c r="I146" s="874"/>
      <c r="J146" s="874"/>
      <c r="K146" s="874"/>
      <c r="L146" s="874"/>
      <c r="M146" s="874"/>
      <c r="N146" s="874"/>
      <c r="O146" s="874"/>
      <c r="P146" s="874"/>
      <c r="Q146" s="874"/>
      <c r="R146" s="874"/>
      <c r="S146" s="874"/>
    </row>
    <row r="147" spans="1:19">
      <c r="A147" s="863"/>
      <c r="B147" s="863" t="s">
        <v>916</v>
      </c>
      <c r="C147" s="857"/>
      <c r="D147" s="874"/>
      <c r="E147" s="874"/>
      <c r="F147" s="874"/>
      <c r="G147" s="874"/>
      <c r="H147" s="874"/>
      <c r="I147" s="874"/>
      <c r="J147" s="874"/>
      <c r="K147" s="874"/>
      <c r="L147" s="874"/>
      <c r="M147" s="874"/>
      <c r="N147" s="874"/>
      <c r="O147" s="874"/>
      <c r="P147" s="874"/>
      <c r="Q147" s="874"/>
      <c r="R147" s="874"/>
      <c r="S147" s="874"/>
    </row>
    <row r="148" spans="1:19">
      <c r="A148" s="863"/>
      <c r="B148" s="863" t="s">
        <v>717</v>
      </c>
      <c r="C148" s="857"/>
      <c r="D148" s="874"/>
      <c r="E148" s="874"/>
      <c r="F148" s="874"/>
      <c r="G148" s="874"/>
      <c r="H148" s="874"/>
      <c r="I148" s="874"/>
      <c r="J148" s="874"/>
      <c r="K148" s="874"/>
      <c r="L148" s="874"/>
      <c r="M148" s="874"/>
      <c r="N148" s="874"/>
      <c r="O148" s="874"/>
      <c r="P148" s="874"/>
      <c r="Q148" s="874"/>
      <c r="R148" s="874"/>
      <c r="S148" s="874"/>
    </row>
    <row r="149" spans="1:19">
      <c r="A149" s="863"/>
      <c r="B149" s="863" t="s">
        <v>91</v>
      </c>
      <c r="C149" s="857"/>
      <c r="D149" s="874"/>
      <c r="E149" s="874"/>
      <c r="F149" s="874"/>
      <c r="G149" s="874"/>
      <c r="H149" s="874"/>
      <c r="I149" s="874"/>
      <c r="J149" s="874"/>
      <c r="K149" s="874"/>
      <c r="L149" s="874"/>
      <c r="M149" s="874"/>
      <c r="N149" s="874"/>
      <c r="O149" s="874"/>
      <c r="P149" s="874"/>
      <c r="Q149" s="874"/>
      <c r="R149" s="874"/>
      <c r="S149" s="874"/>
    </row>
    <row r="150" spans="1:19">
      <c r="A150" s="863"/>
      <c r="B150" s="863" t="s">
        <v>917</v>
      </c>
      <c r="C150" s="857"/>
      <c r="D150" s="874"/>
      <c r="E150" s="874"/>
      <c r="F150" s="874"/>
      <c r="G150" s="874"/>
      <c r="H150" s="874"/>
      <c r="I150" s="874"/>
      <c r="J150" s="874"/>
      <c r="K150" s="874"/>
      <c r="L150" s="874"/>
      <c r="M150" s="874"/>
      <c r="N150" s="874"/>
      <c r="O150" s="874"/>
      <c r="P150" s="874"/>
      <c r="Q150" s="874"/>
      <c r="R150" s="874"/>
      <c r="S150" s="874"/>
    </row>
    <row r="151" spans="1:19">
      <c r="A151" s="863"/>
      <c r="B151" s="863" t="s">
        <v>918</v>
      </c>
      <c r="C151" s="857"/>
      <c r="D151" s="874"/>
      <c r="E151" s="874"/>
      <c r="F151" s="874"/>
      <c r="G151" s="874"/>
      <c r="H151" s="874"/>
      <c r="I151" s="874"/>
      <c r="J151" s="874"/>
      <c r="K151" s="874"/>
      <c r="L151" s="874"/>
      <c r="M151" s="874"/>
      <c r="N151" s="874"/>
      <c r="O151" s="874"/>
      <c r="P151" s="874"/>
      <c r="Q151" s="874"/>
      <c r="R151" s="874"/>
      <c r="S151" s="874"/>
    </row>
    <row r="152" spans="1:19">
      <c r="A152" s="863"/>
      <c r="B152" s="863" t="s">
        <v>106</v>
      </c>
      <c r="C152" s="857"/>
      <c r="D152" s="874"/>
      <c r="E152" s="874"/>
      <c r="F152" s="874"/>
      <c r="G152" s="874"/>
      <c r="H152" s="874"/>
      <c r="I152" s="874"/>
      <c r="J152" s="874"/>
      <c r="K152" s="874"/>
      <c r="L152" s="874"/>
      <c r="M152" s="874"/>
      <c r="N152" s="874"/>
      <c r="O152" s="874"/>
      <c r="P152" s="874"/>
      <c r="Q152" s="874"/>
      <c r="R152" s="874"/>
      <c r="S152" s="874"/>
    </row>
    <row r="153" spans="1:19">
      <c r="A153" s="863"/>
      <c r="B153" s="863" t="s">
        <v>467</v>
      </c>
      <c r="C153" s="857"/>
      <c r="D153" s="874"/>
      <c r="E153" s="874"/>
      <c r="F153" s="874"/>
      <c r="G153" s="874"/>
      <c r="H153" s="874"/>
      <c r="I153" s="874"/>
      <c r="J153" s="874"/>
      <c r="K153" s="874"/>
      <c r="L153" s="874"/>
      <c r="M153" s="874"/>
      <c r="N153" s="874"/>
      <c r="O153" s="874"/>
      <c r="P153" s="874"/>
      <c r="Q153" s="874"/>
      <c r="R153" s="874"/>
      <c r="S153" s="874"/>
    </row>
    <row r="154" spans="1:19">
      <c r="A154" s="863"/>
      <c r="B154" s="863" t="s">
        <v>426</v>
      </c>
      <c r="C154" s="857"/>
      <c r="D154" s="874"/>
      <c r="E154" s="874"/>
      <c r="F154" s="874"/>
      <c r="G154" s="874"/>
      <c r="H154" s="874"/>
      <c r="I154" s="874"/>
      <c r="J154" s="874"/>
      <c r="K154" s="874"/>
      <c r="L154" s="874"/>
      <c r="M154" s="874"/>
      <c r="N154" s="874"/>
      <c r="O154" s="874"/>
      <c r="P154" s="874"/>
      <c r="Q154" s="874"/>
      <c r="R154" s="874"/>
      <c r="S154" s="874"/>
    </row>
    <row r="155" spans="1:19">
      <c r="A155" s="863"/>
      <c r="B155" s="863" t="s">
        <v>100</v>
      </c>
      <c r="C155" s="857"/>
      <c r="D155" s="874"/>
      <c r="E155" s="874"/>
      <c r="F155" s="874"/>
      <c r="G155" s="874"/>
      <c r="H155" s="874"/>
      <c r="I155" s="874"/>
      <c r="J155" s="874"/>
      <c r="K155" s="874"/>
      <c r="L155" s="874"/>
      <c r="M155" s="874"/>
      <c r="N155" s="874"/>
      <c r="O155" s="874"/>
      <c r="P155" s="874"/>
      <c r="Q155" s="874"/>
      <c r="R155" s="874"/>
      <c r="S155" s="874"/>
    </row>
    <row r="156" spans="1:19">
      <c r="A156" s="857"/>
      <c r="B156" s="857"/>
      <c r="C156" s="857"/>
      <c r="D156" s="874"/>
      <c r="E156" s="874"/>
      <c r="F156" s="874"/>
      <c r="G156" s="874"/>
      <c r="H156" s="874"/>
      <c r="I156" s="874"/>
      <c r="J156" s="874"/>
      <c r="K156" s="874"/>
      <c r="L156" s="874"/>
      <c r="M156" s="874"/>
      <c r="N156" s="874"/>
      <c r="O156" s="874"/>
      <c r="P156" s="874"/>
      <c r="Q156" s="874"/>
      <c r="R156" s="874"/>
      <c r="S156" s="874"/>
    </row>
    <row r="157" spans="1:19">
      <c r="A157" s="868" t="s">
        <v>773</v>
      </c>
      <c r="B157" s="866"/>
      <c r="C157" s="866"/>
      <c r="D157" s="861"/>
      <c r="E157" s="874"/>
      <c r="F157" s="874"/>
      <c r="G157" s="874"/>
      <c r="H157" s="874"/>
      <c r="I157" s="874"/>
      <c r="J157" s="874"/>
      <c r="K157" s="874"/>
      <c r="L157" s="874"/>
      <c r="M157" s="874"/>
      <c r="N157" s="874"/>
      <c r="O157" s="874"/>
      <c r="P157" s="874"/>
      <c r="Q157" s="874"/>
      <c r="R157" s="874"/>
      <c r="S157" s="874"/>
    </row>
    <row r="158" spans="1:19">
      <c r="A158" s="857"/>
      <c r="B158" s="857"/>
      <c r="C158" s="857"/>
      <c r="D158" s="861"/>
      <c r="E158" s="874"/>
      <c r="F158" s="874"/>
      <c r="G158" s="874"/>
      <c r="H158" s="874"/>
      <c r="I158" s="874"/>
      <c r="J158" s="874"/>
      <c r="K158" s="874"/>
      <c r="L158" s="874"/>
      <c r="M158" s="874"/>
      <c r="N158" s="874"/>
      <c r="O158" s="874"/>
      <c r="P158" s="874"/>
      <c r="Q158" s="874"/>
      <c r="R158" s="874"/>
      <c r="S158" s="874"/>
    </row>
    <row r="159" spans="1:19">
      <c r="A159" s="857" t="s">
        <v>959</v>
      </c>
      <c r="B159" s="857"/>
      <c r="C159" s="857"/>
      <c r="D159" s="861"/>
      <c r="E159" s="874"/>
      <c r="F159" s="874"/>
      <c r="G159" s="874"/>
      <c r="H159" s="874"/>
      <c r="I159" s="874"/>
      <c r="J159" s="874"/>
      <c r="K159" s="874"/>
      <c r="L159" s="874"/>
      <c r="M159" s="874"/>
      <c r="N159" s="874"/>
      <c r="O159" s="874"/>
      <c r="P159" s="874"/>
      <c r="Q159" s="874"/>
      <c r="R159" s="874"/>
      <c r="S159" s="874"/>
    </row>
    <row r="160" spans="1:19">
      <c r="A160" s="857" t="s">
        <v>962</v>
      </c>
      <c r="B160" s="857"/>
      <c r="C160" s="857"/>
      <c r="D160" s="861"/>
      <c r="E160" s="874"/>
      <c r="F160" s="874"/>
      <c r="G160" s="874"/>
      <c r="H160" s="874"/>
      <c r="I160" s="874"/>
      <c r="J160" s="874"/>
      <c r="K160" s="874"/>
      <c r="L160" s="874"/>
      <c r="M160" s="874"/>
      <c r="N160" s="874"/>
      <c r="O160" s="874"/>
      <c r="P160" s="874"/>
      <c r="Q160" s="874"/>
      <c r="R160" s="874"/>
      <c r="S160" s="874"/>
    </row>
    <row r="161" spans="1:19">
      <c r="A161" s="857"/>
      <c r="B161" s="857"/>
      <c r="C161" s="857"/>
      <c r="D161" s="861"/>
      <c r="E161" s="874"/>
      <c r="F161" s="874"/>
      <c r="G161" s="874"/>
      <c r="H161" s="874"/>
      <c r="I161" s="874"/>
      <c r="J161" s="874"/>
      <c r="K161" s="874"/>
      <c r="L161" s="874"/>
      <c r="M161" s="874"/>
      <c r="N161" s="874"/>
      <c r="O161" s="874"/>
      <c r="P161" s="874"/>
      <c r="Q161" s="874"/>
      <c r="R161" s="874"/>
      <c r="S161" s="874"/>
    </row>
    <row r="162" spans="1:19">
      <c r="A162" s="868" t="s">
        <v>774</v>
      </c>
      <c r="B162" s="866"/>
      <c r="C162" s="866"/>
      <c r="D162" s="861"/>
      <c r="E162" s="874"/>
      <c r="F162" s="874"/>
      <c r="G162" s="874"/>
      <c r="H162" s="874"/>
      <c r="I162" s="874"/>
      <c r="J162" s="874"/>
      <c r="K162" s="874"/>
      <c r="L162" s="874"/>
      <c r="M162" s="874"/>
      <c r="N162" s="874"/>
      <c r="O162" s="874"/>
      <c r="P162" s="874"/>
      <c r="Q162" s="874"/>
      <c r="R162" s="874"/>
      <c r="S162" s="874"/>
    </row>
    <row r="163" spans="1:19">
      <c r="A163" s="857"/>
      <c r="B163" s="857"/>
      <c r="C163" s="857"/>
      <c r="D163" s="861"/>
      <c r="E163" s="874"/>
      <c r="F163" s="874"/>
      <c r="G163" s="874"/>
      <c r="H163" s="874"/>
      <c r="I163" s="874"/>
      <c r="J163" s="874"/>
      <c r="K163" s="874"/>
      <c r="L163" s="874"/>
      <c r="M163" s="874"/>
      <c r="N163" s="874"/>
      <c r="O163" s="874"/>
      <c r="P163" s="874"/>
      <c r="Q163" s="874"/>
      <c r="R163" s="874"/>
      <c r="S163" s="874"/>
    </row>
    <row r="164" spans="1:19">
      <c r="A164" s="857" t="s">
        <v>775</v>
      </c>
      <c r="B164" s="857"/>
      <c r="C164" s="857"/>
      <c r="D164" s="861"/>
      <c r="E164" s="874"/>
      <c r="F164" s="874"/>
      <c r="G164" s="874"/>
      <c r="H164" s="874"/>
      <c r="I164" s="874"/>
      <c r="J164" s="874"/>
      <c r="K164" s="874"/>
      <c r="L164" s="874"/>
      <c r="M164" s="874"/>
      <c r="N164" s="874"/>
      <c r="O164" s="874"/>
      <c r="P164" s="874"/>
      <c r="Q164" s="874"/>
      <c r="R164" s="874"/>
      <c r="S164" s="874"/>
    </row>
    <row r="165" spans="1:19">
      <c r="A165" s="857" t="s">
        <v>782</v>
      </c>
      <c r="B165" s="857"/>
      <c r="C165" s="857"/>
      <c r="D165" s="861"/>
      <c r="E165" s="874"/>
      <c r="F165" s="874"/>
      <c r="G165" s="874"/>
      <c r="H165" s="874"/>
      <c r="I165" s="874"/>
      <c r="J165" s="874"/>
      <c r="K165" s="874"/>
      <c r="L165" s="874"/>
      <c r="M165" s="874"/>
      <c r="N165" s="874"/>
      <c r="O165" s="874"/>
      <c r="P165" s="874"/>
      <c r="Q165" s="874"/>
      <c r="R165" s="874"/>
      <c r="S165" s="874"/>
    </row>
    <row r="166" spans="1:19">
      <c r="A166" s="857" t="s">
        <v>783</v>
      </c>
      <c r="B166" s="857"/>
      <c r="C166" s="857"/>
      <c r="D166" s="861"/>
      <c r="E166" s="874"/>
      <c r="F166" s="874"/>
      <c r="G166" s="874"/>
      <c r="H166" s="874"/>
      <c r="I166" s="874"/>
      <c r="J166" s="874"/>
      <c r="K166" s="874"/>
      <c r="L166" s="874"/>
      <c r="M166" s="874"/>
      <c r="N166" s="874"/>
      <c r="O166" s="874"/>
      <c r="P166" s="874"/>
      <c r="Q166" s="874"/>
      <c r="R166" s="874"/>
      <c r="S166" s="874"/>
    </row>
    <row r="167" spans="1:19">
      <c r="A167" s="857" t="s">
        <v>776</v>
      </c>
      <c r="B167" s="857"/>
      <c r="C167" s="857"/>
      <c r="D167" s="861"/>
      <c r="E167" s="874"/>
      <c r="F167" s="874"/>
      <c r="G167" s="874"/>
      <c r="H167" s="874"/>
      <c r="I167" s="874"/>
      <c r="J167" s="874"/>
      <c r="K167" s="874"/>
      <c r="L167" s="874"/>
      <c r="M167" s="874"/>
      <c r="N167" s="874"/>
      <c r="O167" s="874"/>
      <c r="P167" s="874"/>
      <c r="Q167" s="874"/>
      <c r="R167" s="874"/>
      <c r="S167" s="874"/>
    </row>
    <row r="168" spans="1:19">
      <c r="A168" s="857" t="s">
        <v>919</v>
      </c>
      <c r="B168" s="857"/>
      <c r="C168" s="857"/>
      <c r="D168" s="861"/>
      <c r="E168" s="874"/>
      <c r="F168" s="874"/>
      <c r="G168" s="874"/>
      <c r="H168" s="874"/>
      <c r="I168" s="874"/>
      <c r="J168" s="874"/>
      <c r="K168" s="874"/>
      <c r="L168" s="874"/>
      <c r="M168" s="874"/>
      <c r="N168" s="874"/>
      <c r="O168" s="874"/>
      <c r="P168" s="874"/>
      <c r="Q168" s="874"/>
      <c r="R168" s="874"/>
      <c r="S168" s="874"/>
    </row>
    <row r="169" spans="1:19">
      <c r="A169" s="857"/>
      <c r="B169" s="857"/>
      <c r="C169" s="857"/>
      <c r="D169" s="861"/>
      <c r="E169" s="874"/>
      <c r="F169" s="874"/>
      <c r="G169" s="874"/>
      <c r="H169" s="874"/>
      <c r="I169" s="874"/>
      <c r="J169" s="874"/>
      <c r="K169" s="874"/>
      <c r="L169" s="874"/>
      <c r="M169" s="874"/>
      <c r="N169" s="874"/>
      <c r="O169" s="874"/>
      <c r="P169" s="874"/>
      <c r="Q169" s="874"/>
      <c r="R169" s="874"/>
      <c r="S169" s="874"/>
    </row>
    <row r="170" spans="1:19">
      <c r="A170" s="868" t="s">
        <v>652</v>
      </c>
      <c r="B170" s="866"/>
      <c r="C170" s="866"/>
      <c r="D170" s="860"/>
      <c r="E170" s="874"/>
      <c r="F170" s="874"/>
      <c r="G170" s="874"/>
      <c r="H170" s="874"/>
      <c r="I170" s="874"/>
      <c r="J170" s="874"/>
      <c r="K170" s="874"/>
      <c r="L170" s="874"/>
      <c r="M170" s="874"/>
      <c r="N170" s="874"/>
      <c r="O170" s="874"/>
      <c r="P170" s="874"/>
      <c r="Q170" s="874"/>
      <c r="R170" s="874"/>
      <c r="S170" s="874"/>
    </row>
    <row r="171" spans="1:19">
      <c r="A171" s="863"/>
      <c r="B171" s="863"/>
      <c r="C171" s="863"/>
      <c r="D171" s="860"/>
      <c r="E171" s="874"/>
      <c r="F171" s="874"/>
      <c r="G171" s="874"/>
      <c r="H171" s="874"/>
      <c r="I171" s="874"/>
      <c r="J171" s="874"/>
      <c r="K171" s="874"/>
      <c r="L171" s="874"/>
      <c r="M171" s="874"/>
      <c r="N171" s="874"/>
      <c r="O171" s="874"/>
      <c r="P171" s="874"/>
      <c r="Q171" s="874"/>
      <c r="R171" s="874"/>
      <c r="S171" s="874"/>
    </row>
    <row r="172" spans="1:19">
      <c r="A172" s="863" t="s">
        <v>2056</v>
      </c>
      <c r="B172" s="863"/>
      <c r="C172" s="863"/>
      <c r="D172" s="860"/>
      <c r="E172" s="874"/>
      <c r="F172" s="874"/>
      <c r="G172" s="874"/>
      <c r="H172" s="874"/>
      <c r="I172" s="874"/>
      <c r="J172" s="874"/>
      <c r="K172" s="874"/>
      <c r="L172" s="874"/>
      <c r="M172" s="874"/>
      <c r="N172" s="874"/>
      <c r="O172" s="874"/>
      <c r="P172" s="874"/>
      <c r="Q172" s="874"/>
      <c r="R172" s="874"/>
      <c r="S172" s="874"/>
    </row>
    <row r="173" spans="1:19">
      <c r="A173" s="863" t="s">
        <v>2057</v>
      </c>
      <c r="B173" s="863"/>
      <c r="C173" s="863"/>
      <c r="D173" s="860"/>
      <c r="E173" s="874"/>
      <c r="F173" s="874"/>
      <c r="G173" s="874"/>
      <c r="H173" s="874"/>
      <c r="I173" s="874"/>
      <c r="J173" s="874"/>
      <c r="K173" s="874"/>
      <c r="L173" s="874"/>
      <c r="M173" s="874"/>
      <c r="N173" s="874"/>
      <c r="O173" s="874"/>
      <c r="P173" s="874"/>
      <c r="Q173" s="874"/>
      <c r="R173" s="874"/>
      <c r="S173" s="874"/>
    </row>
    <row r="174" spans="1:19">
      <c r="A174" s="863"/>
      <c r="B174" s="863"/>
      <c r="C174" s="863"/>
      <c r="D174" s="860"/>
      <c r="E174" s="874"/>
      <c r="F174" s="874"/>
      <c r="G174" s="874"/>
      <c r="H174" s="874"/>
      <c r="I174" s="874"/>
      <c r="J174" s="874"/>
      <c r="K174" s="874"/>
      <c r="L174" s="874"/>
      <c r="M174" s="874"/>
      <c r="N174" s="874"/>
      <c r="O174" s="874"/>
      <c r="P174" s="874"/>
      <c r="Q174" s="874"/>
      <c r="R174" s="874"/>
      <c r="S174" s="874"/>
    </row>
    <row r="175" spans="1:19">
      <c r="A175" s="857"/>
      <c r="B175" s="857"/>
      <c r="C175" s="857"/>
      <c r="D175" s="874"/>
      <c r="E175" s="874"/>
      <c r="F175" s="874"/>
      <c r="G175" s="874"/>
      <c r="H175" s="874"/>
      <c r="I175" s="874"/>
      <c r="J175" s="874"/>
      <c r="K175" s="874"/>
      <c r="L175" s="874"/>
      <c r="M175" s="874"/>
      <c r="N175" s="874"/>
      <c r="O175" s="874"/>
      <c r="P175" s="874"/>
      <c r="Q175" s="874"/>
      <c r="R175" s="874"/>
      <c r="S175" s="874"/>
    </row>
    <row r="176" spans="1:19" ht="14.25">
      <c r="A176" s="856" t="s">
        <v>896</v>
      </c>
      <c r="B176" s="867"/>
      <c r="C176" s="867"/>
      <c r="D176" s="874"/>
      <c r="E176" s="874"/>
      <c r="F176" s="874"/>
      <c r="G176" s="874"/>
      <c r="H176" s="874"/>
      <c r="I176" s="874"/>
      <c r="J176" s="874"/>
      <c r="K176" s="874"/>
      <c r="L176" s="874"/>
      <c r="M176" s="874"/>
      <c r="N176" s="874"/>
      <c r="O176" s="874"/>
      <c r="P176" s="874"/>
      <c r="Q176" s="874"/>
      <c r="R176" s="874"/>
      <c r="S176" s="874"/>
    </row>
    <row r="177" spans="1:19">
      <c r="A177" s="857"/>
      <c r="B177" s="857"/>
      <c r="C177" s="857"/>
      <c r="D177" s="874"/>
      <c r="E177" s="874"/>
      <c r="F177" s="874"/>
      <c r="G177" s="874"/>
      <c r="H177" s="874"/>
      <c r="I177" s="874"/>
      <c r="J177" s="874"/>
      <c r="K177" s="874"/>
      <c r="L177" s="874"/>
      <c r="M177" s="874"/>
      <c r="N177" s="874"/>
      <c r="O177" s="874"/>
      <c r="P177" s="874"/>
      <c r="Q177" s="874"/>
      <c r="R177" s="874"/>
      <c r="S177" s="874"/>
    </row>
    <row r="178" spans="1:19">
      <c r="A178" s="868" t="s">
        <v>375</v>
      </c>
      <c r="B178" s="866"/>
      <c r="C178" s="866"/>
      <c r="D178" s="874"/>
      <c r="E178" s="874"/>
      <c r="F178" s="874"/>
      <c r="G178" s="874"/>
      <c r="H178" s="874"/>
      <c r="I178" s="874"/>
      <c r="J178" s="874"/>
      <c r="K178" s="874"/>
      <c r="L178" s="874"/>
      <c r="M178" s="874"/>
      <c r="N178" s="874"/>
      <c r="O178" s="874"/>
      <c r="P178" s="874"/>
      <c r="Q178" s="874"/>
      <c r="R178" s="874"/>
      <c r="S178" s="874"/>
    </row>
    <row r="179" spans="1:19">
      <c r="A179" s="857"/>
      <c r="B179" s="857"/>
      <c r="C179" s="857"/>
      <c r="D179" s="874"/>
      <c r="E179" s="874"/>
      <c r="F179" s="874"/>
      <c r="G179" s="874"/>
      <c r="H179" s="874"/>
      <c r="I179" s="874"/>
      <c r="J179" s="874"/>
      <c r="K179" s="874"/>
      <c r="L179" s="874"/>
      <c r="M179" s="874"/>
      <c r="N179" s="874"/>
      <c r="O179" s="874"/>
      <c r="P179" s="874"/>
      <c r="Q179" s="874"/>
      <c r="R179" s="874"/>
      <c r="S179" s="874"/>
    </row>
    <row r="180" spans="1:19" s="2146" customFormat="1">
      <c r="A180" s="2145" t="s">
        <v>973</v>
      </c>
      <c r="B180" s="2153" t="s">
        <v>1793</v>
      </c>
      <c r="C180" s="2145"/>
    </row>
    <row r="181" spans="1:19" s="2146" customFormat="1">
      <c r="A181" s="2145" t="s">
        <v>974</v>
      </c>
      <c r="B181" s="2153" t="s">
        <v>1793</v>
      </c>
      <c r="C181" s="2145"/>
    </row>
    <row r="182" spans="1:19" s="2146" customFormat="1">
      <c r="A182" s="2145" t="s">
        <v>5656</v>
      </c>
      <c r="B182" s="2153" t="s">
        <v>1793</v>
      </c>
      <c r="C182" s="2145"/>
    </row>
    <row r="183" spans="1:19" s="2146" customFormat="1">
      <c r="A183" s="2145" t="s">
        <v>322</v>
      </c>
      <c r="B183" s="2153" t="s">
        <v>1793</v>
      </c>
      <c r="C183" s="2145"/>
    </row>
    <row r="184" spans="1:19">
      <c r="A184" s="857"/>
      <c r="B184" s="857"/>
      <c r="C184" s="857"/>
      <c r="D184" s="874"/>
      <c r="E184" s="874"/>
      <c r="F184" s="874"/>
      <c r="G184" s="874"/>
      <c r="H184" s="874"/>
      <c r="I184" s="874"/>
      <c r="J184" s="874"/>
      <c r="K184" s="874"/>
      <c r="L184" s="874"/>
      <c r="M184" s="874"/>
      <c r="N184" s="874"/>
      <c r="O184" s="874"/>
      <c r="P184" s="874"/>
      <c r="Q184" s="874"/>
      <c r="R184" s="874"/>
      <c r="S184" s="874"/>
    </row>
    <row r="185" spans="1:19">
      <c r="A185" s="868" t="s">
        <v>653</v>
      </c>
      <c r="B185" s="866"/>
      <c r="C185" s="866"/>
      <c r="D185" s="874"/>
      <c r="E185" s="874"/>
      <c r="F185" s="874"/>
      <c r="G185" s="874"/>
      <c r="H185" s="874"/>
      <c r="I185" s="874"/>
      <c r="J185" s="874"/>
      <c r="K185" s="874"/>
      <c r="L185" s="874"/>
      <c r="M185" s="874"/>
      <c r="N185" s="874"/>
      <c r="O185" s="874"/>
      <c r="P185" s="874"/>
      <c r="Q185" s="874"/>
      <c r="R185" s="874"/>
      <c r="S185" s="874"/>
    </row>
    <row r="186" spans="1:19" s="2146" customFormat="1">
      <c r="A186" s="2154"/>
      <c r="B186" s="2154"/>
      <c r="C186" s="2145"/>
    </row>
    <row r="187" spans="1:19" s="2146" customFormat="1">
      <c r="A187" s="2154" t="s">
        <v>920</v>
      </c>
      <c r="B187" s="2154" t="s">
        <v>1097</v>
      </c>
      <c r="C187" s="2145"/>
    </row>
    <row r="188" spans="1:19" s="2146" customFormat="1">
      <c r="A188" s="2154" t="s">
        <v>921</v>
      </c>
      <c r="B188" s="2154" t="s">
        <v>1098</v>
      </c>
      <c r="C188" s="2145"/>
    </row>
    <row r="189" spans="1:19" s="2146" customFormat="1">
      <c r="A189" s="2154" t="s">
        <v>922</v>
      </c>
      <c r="B189" s="2154" t="s">
        <v>1099</v>
      </c>
      <c r="C189" s="2145"/>
    </row>
    <row r="190" spans="1:19" s="2146" customFormat="1">
      <c r="A190" s="2154" t="s">
        <v>923</v>
      </c>
      <c r="B190" s="2154" t="s">
        <v>1100</v>
      </c>
      <c r="C190" s="2145"/>
    </row>
    <row r="191" spans="1:19" s="2146" customFormat="1">
      <c r="A191" s="2154" t="s">
        <v>924</v>
      </c>
      <c r="B191" s="2154" t="s">
        <v>1101</v>
      </c>
      <c r="C191" s="2145"/>
    </row>
    <row r="192" spans="1:19" s="2146" customFormat="1">
      <c r="A192" s="2154" t="s">
        <v>925</v>
      </c>
      <c r="B192" s="2154" t="s">
        <v>1102</v>
      </c>
      <c r="C192" s="2145"/>
    </row>
    <row r="193" spans="1:19" s="2146" customFormat="1">
      <c r="A193" s="2154" t="s">
        <v>926</v>
      </c>
      <c r="B193" s="2154" t="s">
        <v>1103</v>
      </c>
      <c r="C193" s="2145"/>
    </row>
    <row r="194" spans="1:19" s="2146" customFormat="1">
      <c r="A194" s="2154" t="s">
        <v>927</v>
      </c>
      <c r="B194" s="2154" t="s">
        <v>1104</v>
      </c>
      <c r="C194" s="2145"/>
    </row>
    <row r="195" spans="1:19" s="2146" customFormat="1">
      <c r="A195" s="2154" t="s">
        <v>928</v>
      </c>
      <c r="B195" s="2154" t="s">
        <v>1105</v>
      </c>
      <c r="C195" s="2145"/>
    </row>
    <row r="196" spans="1:19" s="2146" customFormat="1">
      <c r="A196" s="2154" t="s">
        <v>929</v>
      </c>
      <c r="B196" s="2154" t="s">
        <v>1106</v>
      </c>
      <c r="C196" s="2145"/>
    </row>
    <row r="197" spans="1:19" s="2146" customFormat="1">
      <c r="A197" s="2154" t="s">
        <v>848</v>
      </c>
      <c r="B197" s="2154" t="s">
        <v>1107</v>
      </c>
      <c r="C197" s="2145"/>
    </row>
    <row r="198" spans="1:19">
      <c r="A198" s="862"/>
      <c r="B198" s="862"/>
      <c r="C198" s="857"/>
      <c r="D198" s="874"/>
      <c r="E198" s="874"/>
      <c r="F198" s="874"/>
      <c r="G198" s="874"/>
      <c r="H198" s="874"/>
      <c r="I198" s="874"/>
      <c r="J198" s="874"/>
      <c r="K198" s="874"/>
      <c r="L198" s="874"/>
      <c r="M198" s="874"/>
      <c r="N198" s="874"/>
      <c r="O198" s="874"/>
      <c r="P198" s="874"/>
      <c r="Q198" s="874"/>
      <c r="R198" s="874"/>
      <c r="S198" s="874"/>
    </row>
    <row r="199" spans="1:19">
      <c r="A199" s="868" t="s">
        <v>852</v>
      </c>
      <c r="B199" s="866"/>
      <c r="C199" s="866"/>
      <c r="D199" s="874"/>
      <c r="E199" s="874"/>
      <c r="F199" s="874"/>
      <c r="G199" s="874"/>
      <c r="H199" s="874"/>
      <c r="I199" s="874"/>
      <c r="J199" s="874"/>
      <c r="K199" s="874"/>
      <c r="L199" s="874"/>
      <c r="M199" s="874"/>
      <c r="N199" s="874"/>
      <c r="O199" s="874"/>
      <c r="P199" s="874"/>
      <c r="Q199" s="874"/>
      <c r="R199" s="874"/>
      <c r="S199" s="874"/>
    </row>
    <row r="200" spans="1:19">
      <c r="A200" s="857"/>
      <c r="B200" s="857"/>
      <c r="C200" s="857"/>
      <c r="D200" s="874"/>
      <c r="E200" s="874"/>
      <c r="F200" s="874"/>
      <c r="G200" s="874"/>
      <c r="H200" s="874"/>
      <c r="I200" s="874"/>
      <c r="J200" s="874"/>
      <c r="K200" s="874"/>
      <c r="L200" s="874"/>
      <c r="M200" s="874"/>
      <c r="N200" s="874"/>
      <c r="O200" s="874"/>
      <c r="P200" s="874"/>
      <c r="Q200" s="874"/>
      <c r="R200" s="874"/>
      <c r="S200" s="874"/>
    </row>
    <row r="201" spans="1:19">
      <c r="A201" s="857" t="s">
        <v>789</v>
      </c>
      <c r="B201" s="857"/>
      <c r="C201" s="857"/>
      <c r="D201" s="874"/>
      <c r="E201" s="874"/>
      <c r="F201" s="874"/>
      <c r="G201" s="874"/>
      <c r="H201" s="874"/>
      <c r="I201" s="874"/>
      <c r="J201" s="874"/>
      <c r="K201" s="874"/>
      <c r="L201" s="874"/>
      <c r="M201" s="874"/>
      <c r="N201" s="874"/>
      <c r="O201" s="874"/>
      <c r="P201" s="874"/>
      <c r="Q201" s="874"/>
      <c r="R201" s="874"/>
      <c r="S201" s="874"/>
    </row>
    <row r="202" spans="1:19">
      <c r="A202" s="857" t="s">
        <v>790</v>
      </c>
      <c r="B202" s="857"/>
      <c r="C202" s="857"/>
      <c r="D202" s="874"/>
      <c r="E202" s="874"/>
      <c r="F202" s="874"/>
      <c r="G202" s="874"/>
      <c r="H202" s="874"/>
      <c r="I202" s="874"/>
      <c r="J202" s="874"/>
      <c r="K202" s="874"/>
      <c r="L202" s="874"/>
      <c r="M202" s="874"/>
      <c r="N202" s="874"/>
      <c r="O202" s="874"/>
      <c r="P202" s="874"/>
      <c r="Q202" s="874"/>
      <c r="R202" s="874"/>
      <c r="S202" s="874"/>
    </row>
    <row r="203" spans="1:19">
      <c r="A203" s="857" t="s">
        <v>2020</v>
      </c>
      <c r="B203" s="857"/>
      <c r="C203" s="857"/>
      <c r="D203" s="874"/>
      <c r="E203" s="874"/>
      <c r="F203" s="874"/>
      <c r="G203" s="874"/>
      <c r="H203" s="874"/>
      <c r="I203" s="874"/>
      <c r="J203" s="874"/>
      <c r="K203" s="874"/>
      <c r="L203" s="874"/>
      <c r="M203" s="874"/>
      <c r="N203" s="874"/>
      <c r="O203" s="874"/>
      <c r="P203" s="874"/>
      <c r="Q203" s="874"/>
      <c r="R203" s="874"/>
      <c r="S203" s="874"/>
    </row>
    <row r="204" spans="1:19">
      <c r="A204" s="857" t="s">
        <v>2021</v>
      </c>
      <c r="B204" s="857"/>
      <c r="C204" s="857"/>
      <c r="D204" s="874"/>
      <c r="E204" s="874"/>
      <c r="F204" s="874"/>
      <c r="G204" s="874"/>
      <c r="H204" s="874"/>
      <c r="I204" s="874"/>
      <c r="J204" s="874"/>
      <c r="K204" s="874"/>
      <c r="L204" s="874"/>
      <c r="M204" s="874"/>
      <c r="N204" s="874"/>
      <c r="O204" s="874"/>
      <c r="P204" s="874"/>
      <c r="Q204" s="874"/>
      <c r="R204" s="874"/>
      <c r="S204" s="874"/>
    </row>
    <row r="205" spans="1:19">
      <c r="A205" s="857" t="s">
        <v>2022</v>
      </c>
      <c r="B205" s="857"/>
      <c r="C205" s="857"/>
      <c r="D205" s="874"/>
      <c r="E205" s="874"/>
      <c r="F205" s="874"/>
      <c r="G205" s="874"/>
      <c r="H205" s="874"/>
      <c r="I205" s="874"/>
      <c r="J205" s="874"/>
      <c r="K205" s="874"/>
      <c r="L205" s="874"/>
      <c r="M205" s="874"/>
      <c r="N205" s="874"/>
      <c r="O205" s="874"/>
      <c r="P205" s="874"/>
      <c r="Q205" s="874"/>
      <c r="R205" s="874"/>
      <c r="S205" s="874"/>
    </row>
    <row r="206" spans="1:19">
      <c r="A206" s="857"/>
      <c r="B206" s="857"/>
      <c r="C206" s="857"/>
      <c r="D206" s="874"/>
      <c r="E206" s="874"/>
      <c r="F206" s="874"/>
      <c r="G206" s="874"/>
      <c r="H206" s="874"/>
      <c r="I206" s="874"/>
      <c r="J206" s="874"/>
      <c r="K206" s="874"/>
      <c r="L206" s="874"/>
      <c r="M206" s="874"/>
      <c r="N206" s="874"/>
      <c r="O206" s="874"/>
      <c r="P206" s="874"/>
      <c r="Q206" s="874"/>
      <c r="R206" s="874"/>
      <c r="S206" s="874"/>
    </row>
    <row r="207" spans="1:19">
      <c r="A207" s="868" t="s">
        <v>468</v>
      </c>
      <c r="B207" s="866"/>
      <c r="C207" s="866"/>
      <c r="D207" s="874"/>
      <c r="E207" s="874"/>
      <c r="F207" s="874"/>
      <c r="G207" s="874"/>
      <c r="H207" s="874"/>
      <c r="I207" s="874"/>
      <c r="J207" s="874"/>
      <c r="K207" s="874"/>
      <c r="L207" s="874"/>
      <c r="M207" s="874"/>
      <c r="N207" s="874"/>
      <c r="O207" s="874"/>
      <c r="P207" s="874"/>
      <c r="Q207" s="874"/>
      <c r="R207" s="874"/>
      <c r="S207" s="874"/>
    </row>
    <row r="208" spans="1:19">
      <c r="A208" s="857"/>
      <c r="B208" s="857"/>
      <c r="C208" s="857"/>
      <c r="D208" s="874"/>
      <c r="E208" s="874"/>
      <c r="F208" s="874"/>
      <c r="G208" s="874"/>
      <c r="H208" s="874"/>
      <c r="I208" s="874"/>
      <c r="J208" s="874"/>
      <c r="K208" s="874"/>
      <c r="L208" s="874"/>
      <c r="M208" s="874"/>
      <c r="N208" s="874"/>
      <c r="O208" s="874"/>
      <c r="P208" s="874"/>
      <c r="Q208" s="874"/>
      <c r="R208" s="874"/>
      <c r="S208" s="874"/>
    </row>
    <row r="209" spans="1:19">
      <c r="A209" s="857" t="s">
        <v>309</v>
      </c>
      <c r="B209" s="857"/>
      <c r="C209" s="857"/>
      <c r="D209" s="874"/>
      <c r="E209" s="874"/>
      <c r="F209" s="874"/>
      <c r="G209" s="874"/>
      <c r="H209" s="874"/>
      <c r="I209" s="874"/>
      <c r="J209" s="874"/>
      <c r="K209" s="874"/>
      <c r="L209" s="874"/>
      <c r="M209" s="874"/>
      <c r="N209" s="874"/>
      <c r="O209" s="874"/>
      <c r="P209" s="874"/>
      <c r="Q209" s="874"/>
      <c r="R209" s="874"/>
      <c r="S209" s="874"/>
    </row>
    <row r="210" spans="1:19">
      <c r="A210" s="857" t="s">
        <v>836</v>
      </c>
      <c r="B210" s="857"/>
      <c r="C210" s="857"/>
      <c r="D210" s="874"/>
      <c r="E210" s="874"/>
      <c r="F210" s="874"/>
      <c r="G210" s="874"/>
      <c r="H210" s="874"/>
      <c r="I210" s="874"/>
      <c r="J210" s="874"/>
      <c r="K210" s="874"/>
      <c r="L210" s="874"/>
      <c r="M210" s="874"/>
      <c r="N210" s="874"/>
      <c r="O210" s="874"/>
      <c r="P210" s="874"/>
      <c r="Q210" s="874"/>
      <c r="R210" s="874"/>
      <c r="S210" s="874"/>
    </row>
    <row r="211" spans="1:19">
      <c r="A211" s="857"/>
      <c r="B211" s="857"/>
      <c r="C211" s="857"/>
      <c r="D211" s="874"/>
      <c r="E211" s="874"/>
      <c r="F211" s="874"/>
      <c r="G211" s="874"/>
      <c r="H211" s="874"/>
      <c r="I211" s="874"/>
      <c r="J211" s="874"/>
      <c r="K211" s="874"/>
      <c r="L211" s="874"/>
      <c r="M211" s="874"/>
      <c r="N211" s="874"/>
      <c r="O211" s="874"/>
      <c r="P211" s="874"/>
      <c r="Q211" s="874"/>
      <c r="R211" s="874"/>
      <c r="S211" s="874"/>
    </row>
    <row r="212" spans="1:19">
      <c r="A212" s="866" t="s">
        <v>2274</v>
      </c>
      <c r="B212" s="866"/>
      <c r="C212" s="866"/>
      <c r="D212" s="861"/>
      <c r="E212" s="874"/>
      <c r="F212" s="874"/>
      <c r="G212" s="874"/>
      <c r="H212" s="874"/>
      <c r="I212" s="874"/>
      <c r="J212" s="874"/>
      <c r="K212" s="874"/>
      <c r="L212" s="874"/>
      <c r="M212" s="874"/>
      <c r="N212" s="874"/>
      <c r="O212" s="874"/>
      <c r="P212" s="874"/>
      <c r="Q212" s="874"/>
      <c r="R212" s="874"/>
      <c r="S212" s="874"/>
    </row>
    <row r="213" spans="1:19">
      <c r="A213" s="857"/>
      <c r="B213" s="857"/>
      <c r="C213" s="863"/>
      <c r="D213" s="858"/>
      <c r="E213" s="874"/>
      <c r="F213" s="874"/>
      <c r="G213" s="874"/>
      <c r="H213" s="874"/>
      <c r="I213" s="874"/>
      <c r="J213" s="874"/>
      <c r="K213" s="874"/>
      <c r="L213" s="874"/>
      <c r="M213" s="874"/>
      <c r="N213" s="874"/>
      <c r="O213" s="874"/>
      <c r="P213" s="874"/>
      <c r="Q213" s="874"/>
      <c r="R213" s="874"/>
      <c r="S213" s="874"/>
    </row>
    <row r="214" spans="1:19">
      <c r="A214" s="857" t="s">
        <v>978</v>
      </c>
      <c r="B214" s="857" t="s">
        <v>979</v>
      </c>
      <c r="C214" s="863" t="s">
        <v>1423</v>
      </c>
      <c r="D214" s="1140" t="s">
        <v>1302</v>
      </c>
      <c r="E214" s="874"/>
      <c r="F214" s="874"/>
      <c r="G214" s="874"/>
      <c r="H214" s="874"/>
      <c r="I214" s="874"/>
      <c r="J214" s="874"/>
      <c r="K214" s="874"/>
      <c r="L214" s="874"/>
      <c r="M214" s="874"/>
      <c r="N214" s="874"/>
      <c r="O214" s="874"/>
      <c r="P214" s="874"/>
      <c r="Q214" s="874"/>
      <c r="R214" s="874"/>
      <c r="S214" s="874"/>
    </row>
    <row r="215" spans="1:19">
      <c r="A215" s="857"/>
      <c r="B215" s="857" t="s">
        <v>979</v>
      </c>
      <c r="C215" s="863" t="s">
        <v>1424</v>
      </c>
      <c r="D215" s="1140" t="s">
        <v>1303</v>
      </c>
      <c r="E215" s="874"/>
      <c r="F215" s="874"/>
      <c r="G215" s="874"/>
      <c r="H215" s="874"/>
      <c r="I215" s="874"/>
      <c r="J215" s="874"/>
      <c r="K215" s="874"/>
      <c r="L215" s="874"/>
      <c r="M215" s="874"/>
      <c r="N215" s="874"/>
      <c r="O215" s="874"/>
      <c r="P215" s="874"/>
      <c r="Q215" s="874"/>
      <c r="R215" s="874"/>
      <c r="S215" s="874"/>
    </row>
    <row r="216" spans="1:19">
      <c r="A216" s="857"/>
      <c r="B216" s="857" t="s">
        <v>979</v>
      </c>
      <c r="C216" s="863" t="s">
        <v>1425</v>
      </c>
      <c r="D216" s="1140" t="s">
        <v>1304</v>
      </c>
      <c r="E216" s="874"/>
      <c r="F216" s="874"/>
      <c r="G216" s="874"/>
      <c r="H216" s="874"/>
      <c r="I216" s="874"/>
      <c r="J216" s="874"/>
      <c r="K216" s="874"/>
      <c r="L216" s="874"/>
      <c r="M216" s="874"/>
      <c r="N216" s="874"/>
      <c r="O216" s="874"/>
      <c r="P216" s="874"/>
      <c r="Q216" s="874"/>
      <c r="R216" s="874"/>
      <c r="S216" s="874"/>
    </row>
    <row r="217" spans="1:19">
      <c r="A217" s="857"/>
      <c r="B217" s="857" t="s">
        <v>979</v>
      </c>
      <c r="C217" s="863" t="s">
        <v>1426</v>
      </c>
      <c r="D217" s="1140" t="s">
        <v>1305</v>
      </c>
      <c r="E217" s="874"/>
      <c r="F217" s="874"/>
      <c r="G217" s="874"/>
      <c r="H217" s="874"/>
      <c r="I217" s="874"/>
      <c r="J217" s="874"/>
      <c r="K217" s="874"/>
      <c r="L217" s="874"/>
      <c r="M217" s="874"/>
      <c r="N217" s="874"/>
      <c r="O217" s="874"/>
      <c r="P217" s="874"/>
      <c r="Q217" s="874"/>
      <c r="R217" s="874"/>
      <c r="S217" s="874"/>
    </row>
    <row r="218" spans="1:19">
      <c r="A218" s="857"/>
      <c r="B218" s="857" t="s">
        <v>979</v>
      </c>
      <c r="C218" s="863" t="s">
        <v>1427</v>
      </c>
      <c r="D218" s="1140" t="s">
        <v>1306</v>
      </c>
      <c r="E218" s="874"/>
      <c r="F218" s="874"/>
      <c r="G218" s="874"/>
      <c r="H218" s="874"/>
      <c r="I218" s="874"/>
      <c r="J218" s="874"/>
      <c r="K218" s="874"/>
      <c r="L218" s="874"/>
      <c r="M218" s="874"/>
      <c r="N218" s="874"/>
      <c r="O218" s="874"/>
      <c r="P218" s="874"/>
      <c r="Q218" s="874"/>
      <c r="R218" s="874"/>
      <c r="S218" s="874"/>
    </row>
    <row r="219" spans="1:19">
      <c r="A219" s="857"/>
      <c r="B219" s="857" t="s">
        <v>979</v>
      </c>
      <c r="C219" s="863" t="s">
        <v>1428</v>
      </c>
      <c r="D219" s="1140" t="s">
        <v>1307</v>
      </c>
      <c r="E219" s="874"/>
      <c r="F219" s="874"/>
      <c r="G219" s="874"/>
      <c r="H219" s="874"/>
      <c r="I219" s="874"/>
      <c r="J219" s="874"/>
      <c r="K219" s="874"/>
      <c r="L219" s="874"/>
      <c r="M219" s="874"/>
      <c r="N219" s="874"/>
      <c r="O219" s="874"/>
      <c r="P219" s="874"/>
      <c r="Q219" s="874"/>
      <c r="R219" s="874"/>
      <c r="S219" s="874"/>
    </row>
    <row r="220" spans="1:19">
      <c r="A220" s="857"/>
      <c r="B220" s="857" t="s">
        <v>979</v>
      </c>
      <c r="C220" s="863" t="s">
        <v>1429</v>
      </c>
      <c r="D220" s="1140" t="s">
        <v>1308</v>
      </c>
      <c r="E220" s="874"/>
      <c r="F220" s="874"/>
      <c r="G220" s="874"/>
      <c r="H220" s="874"/>
      <c r="I220" s="874"/>
      <c r="J220" s="874"/>
      <c r="K220" s="874"/>
      <c r="L220" s="874"/>
      <c r="M220" s="874"/>
      <c r="N220" s="874"/>
      <c r="O220" s="874"/>
      <c r="P220" s="874"/>
      <c r="Q220" s="874"/>
      <c r="R220" s="874"/>
      <c r="S220" s="874"/>
    </row>
    <row r="221" spans="1:19">
      <c r="A221" s="857"/>
      <c r="B221" s="857" t="s">
        <v>979</v>
      </c>
      <c r="C221" s="863" t="s">
        <v>1430</v>
      </c>
      <c r="D221" s="1140" t="s">
        <v>1309</v>
      </c>
      <c r="E221" s="874"/>
      <c r="F221" s="874"/>
      <c r="G221" s="874"/>
      <c r="H221" s="874"/>
      <c r="I221" s="874"/>
      <c r="J221" s="874"/>
      <c r="K221" s="874"/>
      <c r="L221" s="874"/>
      <c r="M221" s="874"/>
      <c r="N221" s="874"/>
      <c r="O221" s="874"/>
      <c r="P221" s="874"/>
      <c r="Q221" s="874"/>
      <c r="R221" s="874"/>
      <c r="S221" s="874"/>
    </row>
    <row r="222" spans="1:19">
      <c r="A222" s="857"/>
      <c r="B222" s="857" t="s">
        <v>979</v>
      </c>
      <c r="C222" s="863" t="s">
        <v>1431</v>
      </c>
      <c r="D222" s="1140" t="s">
        <v>1310</v>
      </c>
      <c r="E222" s="874"/>
      <c r="F222" s="874"/>
      <c r="G222" s="874"/>
      <c r="H222" s="874"/>
      <c r="I222" s="874"/>
      <c r="J222" s="874"/>
      <c r="K222" s="874"/>
      <c r="L222" s="874"/>
      <c r="M222" s="874"/>
      <c r="N222" s="874"/>
      <c r="O222" s="874"/>
      <c r="P222" s="874"/>
      <c r="Q222" s="874"/>
      <c r="R222" s="874"/>
      <c r="S222" s="874"/>
    </row>
    <row r="223" spans="1:19">
      <c r="A223" s="857"/>
      <c r="B223" s="857" t="s">
        <v>979</v>
      </c>
      <c r="C223" s="863" t="s">
        <v>1432</v>
      </c>
      <c r="D223" s="1140" t="s">
        <v>1311</v>
      </c>
      <c r="E223" s="874"/>
      <c r="F223" s="874"/>
      <c r="G223" s="874"/>
      <c r="H223" s="874"/>
      <c r="I223" s="874"/>
      <c r="J223" s="874"/>
      <c r="K223" s="874"/>
      <c r="L223" s="874"/>
      <c r="M223" s="874"/>
      <c r="N223" s="874"/>
      <c r="O223" s="874"/>
      <c r="P223" s="874"/>
      <c r="Q223" s="874"/>
      <c r="R223" s="874"/>
      <c r="S223" s="874"/>
    </row>
    <row r="224" spans="1:19">
      <c r="A224" s="857"/>
      <c r="B224" s="857" t="s">
        <v>979</v>
      </c>
      <c r="C224" s="863" t="s">
        <v>1433</v>
      </c>
      <c r="D224" s="1140" t="s">
        <v>1312</v>
      </c>
      <c r="E224" s="861"/>
      <c r="F224" s="861"/>
      <c r="G224" s="861"/>
      <c r="H224" s="874"/>
      <c r="I224" s="874"/>
      <c r="J224" s="874"/>
      <c r="K224" s="874"/>
      <c r="L224" s="874"/>
      <c r="M224" s="874"/>
      <c r="N224" s="874"/>
      <c r="O224" s="874"/>
      <c r="P224" s="874"/>
      <c r="Q224" s="874"/>
      <c r="R224" s="874"/>
      <c r="S224" s="874"/>
    </row>
    <row r="225" spans="1:19">
      <c r="A225" s="857"/>
      <c r="B225" s="857" t="s">
        <v>979</v>
      </c>
      <c r="C225" s="863" t="s">
        <v>1434</v>
      </c>
      <c r="D225" s="1140" t="s">
        <v>1313</v>
      </c>
      <c r="E225" s="861"/>
      <c r="F225" s="861"/>
      <c r="G225" s="861"/>
      <c r="H225" s="871"/>
      <c r="I225" s="871"/>
      <c r="J225" s="874"/>
      <c r="K225" s="874"/>
      <c r="L225" s="874"/>
      <c r="M225" s="874"/>
      <c r="N225" s="874"/>
      <c r="O225" s="874"/>
      <c r="P225" s="874"/>
      <c r="Q225" s="874"/>
      <c r="R225" s="874"/>
      <c r="S225" s="874"/>
    </row>
    <row r="226" spans="1:19">
      <c r="A226" s="857"/>
      <c r="B226" s="857" t="s">
        <v>979</v>
      </c>
      <c r="C226" s="863" t="s">
        <v>1435</v>
      </c>
      <c r="D226" s="1140" t="s">
        <v>1314</v>
      </c>
      <c r="E226" s="861"/>
      <c r="F226" s="861"/>
      <c r="G226" s="861"/>
      <c r="H226" s="871"/>
      <c r="I226" s="871"/>
      <c r="J226" s="874"/>
      <c r="K226" s="874"/>
      <c r="L226" s="874"/>
      <c r="M226" s="874"/>
      <c r="N226" s="874"/>
      <c r="O226" s="874"/>
      <c r="P226" s="874"/>
      <c r="Q226" s="874"/>
      <c r="R226" s="874"/>
      <c r="S226" s="874"/>
    </row>
    <row r="227" spans="1:19">
      <c r="A227" s="857"/>
      <c r="B227" s="857" t="s">
        <v>979</v>
      </c>
      <c r="C227" s="863" t="s">
        <v>1436</v>
      </c>
      <c r="D227" s="1140" t="s">
        <v>1315</v>
      </c>
      <c r="E227" s="861"/>
      <c r="F227" s="861"/>
      <c r="G227" s="861"/>
      <c r="H227" s="874"/>
      <c r="I227" s="874"/>
      <c r="J227" s="874"/>
      <c r="K227" s="874"/>
      <c r="L227" s="874"/>
      <c r="M227" s="874"/>
      <c r="N227" s="874"/>
      <c r="O227" s="874"/>
      <c r="P227" s="874"/>
      <c r="Q227" s="874"/>
      <c r="R227" s="874"/>
      <c r="S227" s="874"/>
    </row>
    <row r="228" spans="1:19">
      <c r="A228" s="857"/>
      <c r="B228" s="857" t="s">
        <v>979</v>
      </c>
      <c r="C228" s="863" t="s">
        <v>1437</v>
      </c>
      <c r="D228" s="1140" t="s">
        <v>1316</v>
      </c>
      <c r="E228" s="861"/>
      <c r="F228" s="861"/>
      <c r="G228" s="861"/>
      <c r="H228" s="874"/>
      <c r="I228" s="874"/>
      <c r="J228" s="874"/>
      <c r="K228" s="874"/>
      <c r="L228" s="874"/>
      <c r="M228" s="874"/>
      <c r="N228" s="874"/>
      <c r="O228" s="874"/>
      <c r="P228" s="874"/>
      <c r="Q228" s="874"/>
      <c r="R228" s="874"/>
      <c r="S228" s="874"/>
    </row>
    <row r="229" spans="1:19">
      <c r="A229" s="857"/>
      <c r="B229" s="857" t="s">
        <v>979</v>
      </c>
      <c r="C229" s="863" t="s">
        <v>1438</v>
      </c>
      <c r="D229" s="1140" t="s">
        <v>1317</v>
      </c>
      <c r="E229" s="861"/>
      <c r="F229" s="861"/>
      <c r="G229" s="861"/>
      <c r="H229" s="874"/>
      <c r="I229" s="874"/>
      <c r="J229" s="874"/>
      <c r="K229" s="874"/>
      <c r="L229" s="874"/>
      <c r="M229" s="874"/>
      <c r="N229" s="874"/>
      <c r="O229" s="874"/>
      <c r="P229" s="874"/>
      <c r="Q229" s="874"/>
      <c r="R229" s="874"/>
      <c r="S229" s="874"/>
    </row>
    <row r="230" spans="1:19">
      <c r="A230" s="857"/>
      <c r="B230" s="857" t="s">
        <v>979</v>
      </c>
      <c r="C230" s="863" t="s">
        <v>1439</v>
      </c>
      <c r="D230" s="1140" t="s">
        <v>1318</v>
      </c>
      <c r="E230" s="861"/>
      <c r="F230" s="861"/>
      <c r="G230" s="861"/>
      <c r="H230" s="874"/>
      <c r="I230" s="874"/>
      <c r="J230" s="874"/>
      <c r="K230" s="874"/>
      <c r="L230" s="874"/>
      <c r="M230" s="874"/>
      <c r="N230" s="874"/>
      <c r="O230" s="874"/>
      <c r="P230" s="874"/>
      <c r="Q230" s="874"/>
      <c r="R230" s="874"/>
      <c r="S230" s="874"/>
    </row>
    <row r="231" spans="1:19">
      <c r="A231" s="857"/>
      <c r="B231" s="857" t="s">
        <v>979</v>
      </c>
      <c r="C231" s="863" t="s">
        <v>1440</v>
      </c>
      <c r="D231" s="1140" t="s">
        <v>1319</v>
      </c>
      <c r="E231" s="861"/>
      <c r="F231" s="861"/>
      <c r="G231" s="861"/>
      <c r="H231" s="874"/>
      <c r="I231" s="874"/>
      <c r="J231" s="874"/>
      <c r="K231" s="874"/>
      <c r="L231" s="874"/>
      <c r="M231" s="874"/>
      <c r="N231" s="874"/>
      <c r="O231" s="874"/>
      <c r="P231" s="874"/>
      <c r="Q231" s="874"/>
      <c r="R231" s="874"/>
      <c r="S231" s="874"/>
    </row>
    <row r="232" spans="1:19">
      <c r="A232" s="857"/>
      <c r="B232" s="857" t="s">
        <v>979</v>
      </c>
      <c r="C232" s="863" t="s">
        <v>1441</v>
      </c>
      <c r="D232" s="1140" t="s">
        <v>1320</v>
      </c>
      <c r="E232" s="861"/>
      <c r="F232" s="861"/>
      <c r="G232" s="861"/>
      <c r="H232" s="874"/>
      <c r="I232" s="874"/>
      <c r="J232" s="874"/>
      <c r="K232" s="874"/>
      <c r="L232" s="874"/>
      <c r="M232" s="874"/>
      <c r="N232" s="874"/>
      <c r="O232" s="874"/>
      <c r="P232" s="874"/>
      <c r="Q232" s="874"/>
      <c r="R232" s="874"/>
      <c r="S232" s="874"/>
    </row>
    <row r="233" spans="1:19">
      <c r="A233" s="857"/>
      <c r="B233" s="857" t="s">
        <v>979</v>
      </c>
      <c r="C233" s="863" t="s">
        <v>1442</v>
      </c>
      <c r="D233" s="1140" t="s">
        <v>1321</v>
      </c>
      <c r="E233" s="861"/>
      <c r="F233" s="861"/>
      <c r="G233" s="861"/>
      <c r="H233" s="874"/>
      <c r="I233" s="874"/>
      <c r="J233" s="874"/>
      <c r="K233" s="874"/>
      <c r="L233" s="874"/>
      <c r="M233" s="874"/>
      <c r="N233" s="874"/>
      <c r="O233" s="874"/>
      <c r="P233" s="874"/>
      <c r="Q233" s="874"/>
      <c r="R233" s="874"/>
      <c r="S233" s="874"/>
    </row>
    <row r="234" spans="1:19">
      <c r="A234" s="857"/>
      <c r="B234" s="857" t="s">
        <v>979</v>
      </c>
      <c r="C234" s="863" t="s">
        <v>1443</v>
      </c>
      <c r="D234" s="1140" t="s">
        <v>1322</v>
      </c>
      <c r="E234" s="861"/>
      <c r="F234" s="861"/>
      <c r="G234" s="861"/>
      <c r="H234" s="874"/>
      <c r="I234" s="874"/>
      <c r="J234" s="874"/>
      <c r="K234" s="874"/>
      <c r="L234" s="874"/>
      <c r="M234" s="874"/>
      <c r="N234" s="874"/>
      <c r="O234" s="874"/>
      <c r="P234" s="874"/>
      <c r="Q234" s="874"/>
      <c r="R234" s="874"/>
      <c r="S234" s="874"/>
    </row>
    <row r="235" spans="1:19">
      <c r="A235" s="857"/>
      <c r="B235" s="857" t="s">
        <v>979</v>
      </c>
      <c r="C235" s="863" t="s">
        <v>1444</v>
      </c>
      <c r="D235" s="1140" t="s">
        <v>1323</v>
      </c>
      <c r="E235" s="861"/>
      <c r="F235" s="861"/>
      <c r="G235" s="861"/>
      <c r="H235" s="874"/>
      <c r="I235" s="874"/>
      <c r="J235" s="874"/>
      <c r="K235" s="874"/>
      <c r="L235" s="874"/>
      <c r="M235" s="874"/>
      <c r="N235" s="874"/>
      <c r="O235" s="874"/>
      <c r="P235" s="874"/>
      <c r="Q235" s="874"/>
      <c r="R235" s="874"/>
      <c r="S235" s="874"/>
    </row>
    <row r="236" spans="1:19">
      <c r="A236" s="857"/>
      <c r="B236" s="857" t="s">
        <v>979</v>
      </c>
      <c r="C236" s="863" t="s">
        <v>1445</v>
      </c>
      <c r="D236" s="1140" t="s">
        <v>1324</v>
      </c>
      <c r="E236" s="861"/>
      <c r="F236" s="861"/>
      <c r="G236" s="861"/>
      <c r="H236" s="874"/>
      <c r="I236" s="874"/>
      <c r="J236" s="874"/>
      <c r="K236" s="874"/>
      <c r="L236" s="874"/>
      <c r="M236" s="874"/>
      <c r="N236" s="874"/>
      <c r="O236" s="874"/>
      <c r="P236" s="874"/>
      <c r="Q236" s="874"/>
      <c r="R236" s="874"/>
      <c r="S236" s="874"/>
    </row>
    <row r="237" spans="1:19">
      <c r="A237" s="857" t="s">
        <v>1001</v>
      </c>
      <c r="B237" s="857" t="s">
        <v>76</v>
      </c>
      <c r="C237" s="872" t="s">
        <v>1446</v>
      </c>
      <c r="D237" s="1140" t="s">
        <v>1325</v>
      </c>
      <c r="E237" s="861"/>
      <c r="F237" s="861"/>
      <c r="G237" s="861"/>
      <c r="H237" s="874"/>
      <c r="I237" s="874"/>
      <c r="J237" s="874"/>
      <c r="K237" s="874"/>
      <c r="L237" s="874"/>
      <c r="M237" s="874"/>
      <c r="N237" s="874"/>
      <c r="O237" s="874"/>
      <c r="P237" s="874"/>
      <c r="Q237" s="874"/>
      <c r="R237" s="874"/>
      <c r="S237" s="874"/>
    </row>
    <row r="238" spans="1:19">
      <c r="A238" s="857" t="s">
        <v>654</v>
      </c>
      <c r="B238" s="857" t="s">
        <v>433</v>
      </c>
      <c r="C238" s="872" t="s">
        <v>1456</v>
      </c>
      <c r="D238" s="1140" t="s">
        <v>1335</v>
      </c>
      <c r="E238" s="861"/>
      <c r="F238" s="861"/>
      <c r="G238" s="861"/>
      <c r="H238" s="874"/>
      <c r="I238" s="874"/>
      <c r="J238" s="874"/>
      <c r="K238" s="874"/>
      <c r="L238" s="874"/>
      <c r="M238" s="874"/>
      <c r="N238" s="874"/>
      <c r="O238" s="874"/>
      <c r="P238" s="874"/>
      <c r="Q238" s="874"/>
      <c r="R238" s="874"/>
      <c r="S238" s="874"/>
    </row>
    <row r="239" spans="1:19">
      <c r="A239" s="857"/>
      <c r="B239" s="857" t="s">
        <v>586</v>
      </c>
      <c r="C239" s="872" t="s">
        <v>1458</v>
      </c>
      <c r="D239" s="1140" t="s">
        <v>1337</v>
      </c>
      <c r="E239" s="861"/>
      <c r="F239" s="861"/>
      <c r="G239" s="861"/>
      <c r="H239" s="874"/>
      <c r="I239" s="874"/>
      <c r="J239" s="874"/>
      <c r="K239" s="874"/>
      <c r="L239" s="874"/>
      <c r="M239" s="874"/>
      <c r="N239" s="874"/>
      <c r="O239" s="874"/>
      <c r="P239" s="874"/>
      <c r="Q239" s="874"/>
      <c r="R239" s="874"/>
      <c r="S239" s="874"/>
    </row>
    <row r="240" spans="1:19">
      <c r="A240" s="857"/>
      <c r="B240" s="857" t="s">
        <v>585</v>
      </c>
      <c r="C240" s="872" t="s">
        <v>1457</v>
      </c>
      <c r="D240" s="1140" t="s">
        <v>1336</v>
      </c>
      <c r="E240" s="861"/>
      <c r="F240" s="861"/>
      <c r="G240" s="861"/>
      <c r="H240" s="874"/>
      <c r="I240" s="874"/>
      <c r="J240" s="874"/>
      <c r="K240" s="874"/>
      <c r="L240" s="874"/>
      <c r="M240" s="874"/>
      <c r="N240" s="874"/>
      <c r="O240" s="874"/>
      <c r="P240" s="874"/>
      <c r="Q240" s="874"/>
      <c r="R240" s="874"/>
      <c r="S240" s="874"/>
    </row>
    <row r="241" spans="1:19">
      <c r="A241" s="857"/>
      <c r="B241" s="857" t="s">
        <v>77</v>
      </c>
      <c r="C241" s="872" t="s">
        <v>1447</v>
      </c>
      <c r="D241" s="1140" t="s">
        <v>1326</v>
      </c>
      <c r="E241" s="861"/>
      <c r="F241" s="861"/>
      <c r="G241" s="861"/>
      <c r="H241" s="874"/>
      <c r="I241" s="874"/>
      <c r="J241" s="874"/>
      <c r="K241" s="874"/>
      <c r="L241" s="874"/>
      <c r="M241" s="874"/>
      <c r="N241" s="874"/>
      <c r="O241" s="874"/>
      <c r="P241" s="874"/>
      <c r="Q241" s="874"/>
      <c r="R241" s="874"/>
      <c r="S241" s="874"/>
    </row>
    <row r="242" spans="1:19">
      <c r="A242" s="857"/>
      <c r="B242" s="857" t="s">
        <v>77</v>
      </c>
      <c r="C242" s="872" t="s">
        <v>1448</v>
      </c>
      <c r="D242" s="1140" t="s">
        <v>1327</v>
      </c>
      <c r="E242" s="861"/>
      <c r="F242" s="861"/>
      <c r="G242" s="861"/>
      <c r="H242" s="874"/>
      <c r="I242" s="874"/>
      <c r="J242" s="874"/>
      <c r="K242" s="874"/>
      <c r="L242" s="874"/>
      <c r="M242" s="874"/>
      <c r="N242" s="874"/>
      <c r="O242" s="874"/>
      <c r="P242" s="874"/>
      <c r="Q242" s="874"/>
      <c r="R242" s="874"/>
      <c r="S242" s="874"/>
    </row>
    <row r="243" spans="1:19">
      <c r="A243" s="857"/>
      <c r="B243" s="857" t="s">
        <v>77</v>
      </c>
      <c r="C243" s="873" t="s">
        <v>1464</v>
      </c>
      <c r="D243" s="1141" t="s">
        <v>1343</v>
      </c>
      <c r="E243" s="861"/>
      <c r="F243" s="861"/>
      <c r="G243" s="861"/>
      <c r="H243" s="874"/>
      <c r="I243" s="874"/>
      <c r="J243" s="874"/>
      <c r="K243" s="874"/>
      <c r="L243" s="874"/>
      <c r="M243" s="874"/>
      <c r="N243" s="874"/>
      <c r="O243" s="874"/>
      <c r="P243" s="874"/>
      <c r="Q243" s="874"/>
      <c r="R243" s="874"/>
      <c r="S243" s="874"/>
    </row>
    <row r="244" spans="1:19">
      <c r="A244" s="857"/>
      <c r="B244" s="857" t="s">
        <v>588</v>
      </c>
      <c r="C244" s="872" t="s">
        <v>1461</v>
      </c>
      <c r="D244" s="1140" t="s">
        <v>1340</v>
      </c>
      <c r="E244" s="861"/>
      <c r="F244" s="861"/>
      <c r="G244" s="861"/>
      <c r="H244" s="874"/>
      <c r="I244" s="874"/>
      <c r="J244" s="874"/>
      <c r="K244" s="874"/>
      <c r="L244" s="874"/>
      <c r="M244" s="874"/>
      <c r="N244" s="874"/>
      <c r="O244" s="874"/>
      <c r="P244" s="874"/>
      <c r="Q244" s="874"/>
      <c r="R244" s="874"/>
      <c r="S244" s="874"/>
    </row>
    <row r="245" spans="1:19">
      <c r="A245" s="857"/>
      <c r="B245" s="857" t="s">
        <v>587</v>
      </c>
      <c r="C245" s="872" t="s">
        <v>1459</v>
      </c>
      <c r="D245" s="1140" t="s">
        <v>1338</v>
      </c>
      <c r="E245" s="861"/>
      <c r="F245" s="861"/>
      <c r="G245" s="861"/>
      <c r="H245" s="874"/>
      <c r="I245" s="874"/>
      <c r="J245" s="874"/>
      <c r="K245" s="874"/>
      <c r="L245" s="874"/>
      <c r="M245" s="874"/>
      <c r="N245" s="874"/>
      <c r="O245" s="874"/>
      <c r="P245" s="874"/>
      <c r="Q245" s="874"/>
      <c r="R245" s="874"/>
      <c r="S245" s="874"/>
    </row>
    <row r="246" spans="1:19">
      <c r="A246" s="857"/>
      <c r="B246" s="857" t="s">
        <v>587</v>
      </c>
      <c r="C246" s="872" t="s">
        <v>1462</v>
      </c>
      <c r="D246" s="1140" t="s">
        <v>1341</v>
      </c>
      <c r="E246" s="861"/>
      <c r="F246" s="861"/>
      <c r="G246" s="861"/>
      <c r="H246" s="874"/>
      <c r="I246" s="874"/>
      <c r="J246" s="874"/>
      <c r="K246" s="874"/>
      <c r="L246" s="874"/>
      <c r="M246" s="874"/>
      <c r="N246" s="874"/>
      <c r="O246" s="874"/>
      <c r="P246" s="874"/>
      <c r="Q246" s="874"/>
      <c r="R246" s="874"/>
      <c r="S246" s="874"/>
    </row>
    <row r="247" spans="1:19">
      <c r="A247" s="857"/>
      <c r="B247" s="857" t="s">
        <v>78</v>
      </c>
      <c r="C247" s="872" t="s">
        <v>1449</v>
      </c>
      <c r="D247" s="1140" t="s">
        <v>1328</v>
      </c>
      <c r="E247" s="861"/>
      <c r="F247" s="861"/>
      <c r="G247" s="861"/>
      <c r="H247" s="874"/>
      <c r="I247" s="874"/>
      <c r="J247" s="874"/>
      <c r="K247" s="874"/>
      <c r="L247" s="874"/>
      <c r="M247" s="874"/>
      <c r="N247" s="874"/>
      <c r="O247" s="874"/>
      <c r="P247" s="874"/>
      <c r="Q247" s="874"/>
      <c r="R247" s="874"/>
      <c r="S247" s="874"/>
    </row>
    <row r="248" spans="1:19">
      <c r="A248" s="857"/>
      <c r="B248" s="857" t="s">
        <v>428</v>
      </c>
      <c r="C248" s="872" t="s">
        <v>1450</v>
      </c>
      <c r="D248" s="1140" t="s">
        <v>1329</v>
      </c>
      <c r="E248" s="861"/>
      <c r="F248" s="861"/>
      <c r="G248" s="861"/>
      <c r="H248" s="874"/>
      <c r="I248" s="874"/>
      <c r="J248" s="874"/>
      <c r="K248" s="874"/>
      <c r="L248" s="874"/>
      <c r="M248" s="874"/>
      <c r="N248" s="874"/>
      <c r="O248" s="874"/>
      <c r="P248" s="874"/>
      <c r="Q248" s="874"/>
      <c r="R248" s="874"/>
      <c r="S248" s="874"/>
    </row>
    <row r="249" spans="1:19">
      <c r="A249" s="857"/>
      <c r="B249" s="857" t="s">
        <v>429</v>
      </c>
      <c r="C249" s="872" t="s">
        <v>1451</v>
      </c>
      <c r="D249" s="1140" t="s">
        <v>1330</v>
      </c>
      <c r="E249" s="861"/>
      <c r="F249" s="861"/>
      <c r="G249" s="861"/>
      <c r="H249" s="874"/>
      <c r="I249" s="874"/>
      <c r="J249" s="874"/>
      <c r="K249" s="874"/>
      <c r="L249" s="874"/>
      <c r="M249" s="874"/>
      <c r="N249" s="874"/>
      <c r="O249" s="874"/>
      <c r="P249" s="874"/>
      <c r="Q249" s="874"/>
      <c r="R249" s="874"/>
      <c r="S249" s="874"/>
    </row>
    <row r="250" spans="1:19">
      <c r="A250" s="857"/>
      <c r="B250" s="857" t="s">
        <v>429</v>
      </c>
      <c r="C250" s="872" t="s">
        <v>1460</v>
      </c>
      <c r="D250" s="1140" t="s">
        <v>1339</v>
      </c>
      <c r="E250" s="861"/>
      <c r="F250" s="861"/>
      <c r="G250" s="861"/>
      <c r="H250" s="874"/>
      <c r="I250" s="874"/>
      <c r="J250" s="874"/>
      <c r="K250" s="874"/>
      <c r="L250" s="874"/>
      <c r="M250" s="874"/>
      <c r="N250" s="874"/>
      <c r="O250" s="874"/>
      <c r="P250" s="874"/>
      <c r="Q250" s="874"/>
      <c r="R250" s="874"/>
      <c r="S250" s="874"/>
    </row>
    <row r="251" spans="1:19">
      <c r="A251" s="857"/>
      <c r="B251" s="857" t="s">
        <v>430</v>
      </c>
      <c r="C251" s="872" t="s">
        <v>1452</v>
      </c>
      <c r="D251" s="1140" t="s">
        <v>1331</v>
      </c>
      <c r="E251" s="861"/>
      <c r="F251" s="861"/>
      <c r="G251" s="861"/>
      <c r="H251" s="874"/>
      <c r="I251" s="874"/>
      <c r="J251" s="874"/>
      <c r="K251" s="874"/>
      <c r="L251" s="874"/>
      <c r="M251" s="874"/>
      <c r="N251" s="874"/>
      <c r="O251" s="874"/>
      <c r="P251" s="874"/>
      <c r="Q251" s="874"/>
      <c r="R251" s="874"/>
      <c r="S251" s="874"/>
    </row>
    <row r="252" spans="1:19">
      <c r="A252" s="857"/>
      <c r="B252" s="857" t="s">
        <v>589</v>
      </c>
      <c r="C252" s="872" t="s">
        <v>1463</v>
      </c>
      <c r="D252" s="1140" t="s">
        <v>1342</v>
      </c>
      <c r="E252" s="861"/>
      <c r="F252" s="861"/>
      <c r="G252" s="861"/>
      <c r="H252" s="874"/>
      <c r="I252" s="874"/>
      <c r="J252" s="874"/>
      <c r="K252" s="874"/>
      <c r="L252" s="874"/>
      <c r="M252" s="874"/>
      <c r="N252" s="874"/>
      <c r="O252" s="874"/>
      <c r="P252" s="874"/>
      <c r="Q252" s="874"/>
      <c r="R252" s="874"/>
      <c r="S252" s="874"/>
    </row>
    <row r="253" spans="1:19">
      <c r="A253" s="857"/>
      <c r="B253" s="857" t="s">
        <v>432</v>
      </c>
      <c r="C253" s="872" t="s">
        <v>1455</v>
      </c>
      <c r="D253" s="1140" t="s">
        <v>1334</v>
      </c>
      <c r="E253" s="861"/>
      <c r="F253" s="861"/>
      <c r="G253" s="861"/>
      <c r="H253" s="874"/>
      <c r="I253" s="874"/>
      <c r="J253" s="874"/>
      <c r="K253" s="874"/>
      <c r="L253" s="874"/>
      <c r="M253" s="874"/>
      <c r="N253" s="874"/>
      <c r="O253" s="874"/>
      <c r="P253" s="874"/>
      <c r="Q253" s="874"/>
      <c r="R253" s="874"/>
      <c r="S253" s="874"/>
    </row>
    <row r="254" spans="1:19">
      <c r="A254" s="857"/>
      <c r="B254" s="857" t="s">
        <v>431</v>
      </c>
      <c r="C254" s="872" t="s">
        <v>1453</v>
      </c>
      <c r="D254" s="1140" t="s">
        <v>1332</v>
      </c>
      <c r="E254" s="861"/>
      <c r="F254" s="861"/>
      <c r="G254" s="861"/>
      <c r="H254" s="874"/>
      <c r="I254" s="874"/>
      <c r="J254" s="874"/>
      <c r="K254" s="874"/>
      <c r="L254" s="874"/>
      <c r="M254" s="874"/>
      <c r="N254" s="874"/>
      <c r="O254" s="874"/>
      <c r="P254" s="874"/>
      <c r="Q254" s="874"/>
      <c r="R254" s="874"/>
      <c r="S254" s="874"/>
    </row>
    <row r="255" spans="1:19">
      <c r="A255" s="857"/>
      <c r="B255" s="857" t="s">
        <v>431</v>
      </c>
      <c r="C255" s="872" t="s">
        <v>1454</v>
      </c>
      <c r="D255" s="1140" t="s">
        <v>1333</v>
      </c>
      <c r="E255" s="861"/>
      <c r="F255" s="861"/>
      <c r="G255" s="861"/>
      <c r="H255" s="874"/>
      <c r="I255" s="874"/>
      <c r="J255" s="874"/>
      <c r="K255" s="874"/>
      <c r="L255" s="874"/>
      <c r="M255" s="874"/>
      <c r="N255" s="874"/>
      <c r="O255" s="874"/>
      <c r="P255" s="874"/>
      <c r="Q255" s="874"/>
      <c r="R255" s="874"/>
      <c r="S255" s="874"/>
    </row>
    <row r="256" spans="1:19">
      <c r="A256" s="857"/>
      <c r="B256" s="857" t="s">
        <v>618</v>
      </c>
      <c r="C256" s="873" t="s">
        <v>1465</v>
      </c>
      <c r="D256" s="1141" t="s">
        <v>1344</v>
      </c>
      <c r="E256" s="861"/>
      <c r="F256" s="861"/>
      <c r="G256" s="861"/>
      <c r="H256" s="874"/>
      <c r="I256" s="874"/>
      <c r="J256" s="874"/>
      <c r="K256" s="874"/>
      <c r="L256" s="874"/>
      <c r="M256" s="874"/>
      <c r="N256" s="874"/>
      <c r="O256" s="874"/>
      <c r="P256" s="874"/>
      <c r="Q256" s="874"/>
      <c r="R256" s="874"/>
      <c r="S256" s="874"/>
    </row>
    <row r="257" spans="1:19">
      <c r="A257" s="857" t="s">
        <v>1797</v>
      </c>
      <c r="B257" s="857" t="s">
        <v>590</v>
      </c>
      <c r="C257" s="873" t="s">
        <v>1466</v>
      </c>
      <c r="D257" s="861" t="s">
        <v>1345</v>
      </c>
      <c r="E257" s="861"/>
      <c r="F257" s="861"/>
      <c r="G257" s="861"/>
      <c r="H257" s="874"/>
      <c r="I257" s="874"/>
      <c r="J257" s="874"/>
      <c r="K257" s="874"/>
      <c r="L257" s="874"/>
      <c r="M257" s="874"/>
      <c r="N257" s="874"/>
      <c r="O257" s="874"/>
      <c r="P257" s="874"/>
      <c r="Q257" s="874"/>
      <c r="R257" s="874"/>
      <c r="S257" s="874"/>
    </row>
    <row r="258" spans="1:19">
      <c r="A258" s="857" t="s">
        <v>2273</v>
      </c>
      <c r="B258" s="857" t="s">
        <v>590</v>
      </c>
      <c r="C258" s="873" t="s">
        <v>1467</v>
      </c>
      <c r="D258" s="861" t="s">
        <v>1346</v>
      </c>
      <c r="E258" s="861"/>
      <c r="F258" s="861"/>
      <c r="G258" s="861"/>
      <c r="H258" s="874"/>
      <c r="I258" s="874"/>
      <c r="J258" s="874"/>
      <c r="K258" s="874"/>
      <c r="L258" s="874"/>
      <c r="M258" s="874"/>
      <c r="N258" s="874"/>
      <c r="O258" s="874"/>
      <c r="P258" s="874"/>
      <c r="Q258" s="874"/>
      <c r="R258" s="874"/>
      <c r="S258" s="874"/>
    </row>
    <row r="259" spans="1:19">
      <c r="A259" s="857"/>
      <c r="B259" s="857" t="s">
        <v>591</v>
      </c>
      <c r="C259" s="873" t="s">
        <v>1468</v>
      </c>
      <c r="D259" s="861" t="s">
        <v>1347</v>
      </c>
      <c r="E259" s="861"/>
      <c r="F259" s="861"/>
      <c r="G259" s="861"/>
      <c r="H259" s="874"/>
      <c r="I259" s="874"/>
      <c r="J259" s="874"/>
      <c r="K259" s="874"/>
      <c r="L259" s="874"/>
      <c r="M259" s="874"/>
      <c r="N259" s="874"/>
      <c r="O259" s="874"/>
      <c r="P259" s="874"/>
      <c r="Q259" s="874"/>
      <c r="R259" s="874"/>
      <c r="S259" s="874"/>
    </row>
    <row r="260" spans="1:19">
      <c r="A260" s="857"/>
      <c r="B260" s="857" t="s">
        <v>591</v>
      </c>
      <c r="C260" s="873" t="s">
        <v>1800</v>
      </c>
      <c r="D260" s="861" t="s">
        <v>1801</v>
      </c>
      <c r="E260" s="1493" t="s">
        <v>2023</v>
      </c>
      <c r="F260" s="861"/>
      <c r="G260" s="861"/>
      <c r="H260" s="874"/>
      <c r="I260" s="874"/>
      <c r="J260" s="874"/>
      <c r="K260" s="874"/>
      <c r="L260" s="874"/>
      <c r="M260" s="874"/>
      <c r="N260" s="874"/>
      <c r="O260" s="874"/>
      <c r="P260" s="874"/>
      <c r="Q260" s="874"/>
      <c r="R260" s="874"/>
      <c r="S260" s="874"/>
    </row>
    <row r="261" spans="1:19">
      <c r="A261" s="857"/>
      <c r="B261" s="857" t="s">
        <v>592</v>
      </c>
      <c r="C261" s="873" t="s">
        <v>1469</v>
      </c>
      <c r="D261" s="861" t="s">
        <v>1348</v>
      </c>
      <c r="E261" s="1493"/>
      <c r="F261" s="861"/>
      <c r="G261" s="861"/>
      <c r="H261" s="874"/>
      <c r="I261" s="874"/>
      <c r="J261" s="874"/>
      <c r="K261" s="874"/>
      <c r="L261" s="874"/>
      <c r="M261" s="874"/>
      <c r="N261" s="874"/>
      <c r="O261" s="874"/>
      <c r="P261" s="874"/>
      <c r="Q261" s="874"/>
      <c r="R261" s="874"/>
      <c r="S261" s="874"/>
    </row>
    <row r="262" spans="1:19">
      <c r="A262" s="857"/>
      <c r="B262" s="857" t="s">
        <v>593</v>
      </c>
      <c r="C262" s="873" t="s">
        <v>1470</v>
      </c>
      <c r="D262" s="861" t="s">
        <v>1349</v>
      </c>
      <c r="E262" s="861"/>
      <c r="F262" s="861"/>
      <c r="G262" s="861"/>
      <c r="H262" s="874"/>
      <c r="I262" s="874"/>
      <c r="J262" s="874"/>
      <c r="K262" s="874"/>
      <c r="L262" s="874"/>
      <c r="M262" s="874"/>
      <c r="N262" s="874"/>
      <c r="O262" s="874"/>
      <c r="P262" s="874"/>
      <c r="Q262" s="874"/>
      <c r="R262" s="874"/>
      <c r="S262" s="874"/>
    </row>
    <row r="263" spans="1:19">
      <c r="A263" s="857"/>
      <c r="B263" s="857" t="s">
        <v>622</v>
      </c>
      <c r="C263" s="873" t="s">
        <v>1510</v>
      </c>
      <c r="D263" s="861" t="s">
        <v>1390</v>
      </c>
      <c r="E263" s="861"/>
      <c r="F263" s="861"/>
      <c r="G263" s="861"/>
      <c r="H263" s="874"/>
      <c r="I263" s="874"/>
      <c r="J263" s="874"/>
      <c r="K263" s="874"/>
      <c r="L263" s="874"/>
      <c r="M263" s="874"/>
      <c r="N263" s="874"/>
      <c r="O263" s="874"/>
      <c r="P263" s="874"/>
      <c r="Q263" s="874"/>
      <c r="R263" s="874"/>
      <c r="S263" s="874"/>
    </row>
    <row r="264" spans="1:19">
      <c r="A264" s="857"/>
      <c r="B264" s="857" t="s">
        <v>594</v>
      </c>
      <c r="C264" s="873" t="s">
        <v>1471</v>
      </c>
      <c r="D264" s="861" t="s">
        <v>1350</v>
      </c>
      <c r="E264" s="861"/>
      <c r="F264" s="861"/>
      <c r="G264" s="861"/>
      <c r="H264" s="874"/>
      <c r="I264" s="874"/>
      <c r="J264" s="874"/>
      <c r="K264" s="874"/>
      <c r="L264" s="874"/>
      <c r="M264" s="874"/>
      <c r="N264" s="874"/>
      <c r="O264" s="874"/>
      <c r="P264" s="874"/>
      <c r="Q264" s="874"/>
      <c r="R264" s="874"/>
      <c r="S264" s="874"/>
    </row>
    <row r="265" spans="1:19">
      <c r="A265" s="857"/>
      <c r="B265" s="857" t="s">
        <v>594</v>
      </c>
      <c r="C265" s="873" t="s">
        <v>1472</v>
      </c>
      <c r="D265" s="861" t="s">
        <v>1351</v>
      </c>
      <c r="E265" s="861"/>
      <c r="F265" s="861"/>
      <c r="G265" s="861"/>
      <c r="H265" s="874"/>
      <c r="I265" s="874"/>
      <c r="J265" s="874"/>
      <c r="K265" s="874"/>
      <c r="L265" s="874"/>
      <c r="M265" s="874"/>
      <c r="N265" s="874"/>
      <c r="O265" s="874"/>
      <c r="P265" s="874"/>
      <c r="Q265" s="874"/>
      <c r="R265" s="874"/>
      <c r="S265" s="874"/>
    </row>
    <row r="266" spans="1:19">
      <c r="A266" s="857"/>
      <c r="B266" s="857" t="s">
        <v>594</v>
      </c>
      <c r="C266" s="873" t="s">
        <v>2024</v>
      </c>
      <c r="D266" s="861" t="s">
        <v>2085</v>
      </c>
      <c r="E266" s="861"/>
      <c r="F266" s="861"/>
      <c r="G266" s="861"/>
      <c r="H266" s="874"/>
      <c r="I266" s="874"/>
      <c r="J266" s="874"/>
      <c r="K266" s="874"/>
      <c r="L266" s="874"/>
      <c r="M266" s="874"/>
      <c r="N266" s="874"/>
      <c r="O266" s="874"/>
      <c r="P266" s="874"/>
      <c r="Q266" s="874"/>
      <c r="R266" s="874"/>
      <c r="S266" s="874"/>
    </row>
    <row r="267" spans="1:19">
      <c r="A267" s="857"/>
      <c r="B267" s="857" t="s">
        <v>595</v>
      </c>
      <c r="C267" s="873" t="s">
        <v>1473</v>
      </c>
      <c r="D267" s="861" t="s">
        <v>1352</v>
      </c>
      <c r="E267" s="861"/>
      <c r="F267" s="861"/>
      <c r="G267" s="861"/>
      <c r="H267" s="874"/>
      <c r="I267" s="874"/>
      <c r="J267" s="874"/>
      <c r="K267" s="874"/>
      <c r="L267" s="874"/>
      <c r="M267" s="874"/>
      <c r="N267" s="874"/>
      <c r="O267" s="874"/>
      <c r="P267" s="874"/>
      <c r="Q267" s="874"/>
      <c r="R267" s="874"/>
      <c r="S267" s="874"/>
    </row>
    <row r="268" spans="1:19">
      <c r="B268" s="857" t="s">
        <v>623</v>
      </c>
      <c r="C268" s="873" t="s">
        <v>1511</v>
      </c>
      <c r="D268" s="861" t="s">
        <v>1391</v>
      </c>
      <c r="E268" s="861"/>
      <c r="F268" s="861"/>
      <c r="G268" s="861"/>
      <c r="H268" s="874"/>
      <c r="I268" s="874"/>
      <c r="J268" s="874"/>
      <c r="K268" s="874"/>
      <c r="L268" s="874"/>
      <c r="M268" s="874"/>
      <c r="N268" s="874"/>
      <c r="O268" s="874"/>
      <c r="P268" s="874"/>
      <c r="Q268" s="874"/>
      <c r="R268" s="874"/>
      <c r="S268" s="874"/>
    </row>
    <row r="269" spans="1:19">
      <c r="A269" s="857"/>
      <c r="B269" s="857" t="s">
        <v>596</v>
      </c>
      <c r="C269" s="873" t="s">
        <v>1474</v>
      </c>
      <c r="D269" s="861" t="s">
        <v>1353</v>
      </c>
      <c r="E269" s="861"/>
      <c r="F269" s="861"/>
      <c r="G269" s="861"/>
      <c r="H269" s="874"/>
      <c r="I269" s="874"/>
      <c r="J269" s="874"/>
      <c r="K269" s="874"/>
      <c r="L269" s="874"/>
      <c r="M269" s="874"/>
      <c r="N269" s="874"/>
      <c r="O269" s="874"/>
      <c r="P269" s="874"/>
      <c r="Q269" s="874"/>
      <c r="R269" s="874"/>
      <c r="S269" s="874"/>
    </row>
    <row r="270" spans="1:19">
      <c r="A270" s="857"/>
      <c r="B270" s="857" t="s">
        <v>596</v>
      </c>
      <c r="C270" s="873" t="s">
        <v>1505</v>
      </c>
      <c r="D270" s="861" t="s">
        <v>1384</v>
      </c>
      <c r="E270" s="861"/>
      <c r="F270" s="861"/>
      <c r="G270" s="861"/>
      <c r="H270" s="874"/>
      <c r="I270" s="874"/>
      <c r="J270" s="874"/>
      <c r="K270" s="874"/>
      <c r="L270" s="874"/>
      <c r="M270" s="874"/>
      <c r="N270" s="874"/>
      <c r="O270" s="874"/>
      <c r="P270" s="874"/>
      <c r="Q270" s="874"/>
      <c r="R270" s="874"/>
      <c r="S270" s="874"/>
    </row>
    <row r="271" spans="1:19">
      <c r="A271" s="857"/>
      <c r="B271" s="857" t="s">
        <v>597</v>
      </c>
      <c r="C271" s="873" t="s">
        <v>1475</v>
      </c>
      <c r="D271" s="861" t="s">
        <v>1354</v>
      </c>
      <c r="E271" s="861"/>
      <c r="F271" s="861"/>
      <c r="G271" s="861"/>
      <c r="H271" s="874"/>
      <c r="I271" s="874"/>
      <c r="J271" s="874"/>
      <c r="K271" s="874"/>
      <c r="L271" s="874"/>
      <c r="M271" s="874"/>
      <c r="N271" s="874"/>
      <c r="O271" s="874"/>
      <c r="P271" s="874"/>
      <c r="Q271" s="874"/>
      <c r="R271" s="874"/>
      <c r="S271" s="874"/>
    </row>
    <row r="272" spans="1:19">
      <c r="A272" s="857"/>
      <c r="B272" s="857" t="s">
        <v>597</v>
      </c>
      <c r="C272" s="873" t="s">
        <v>1509</v>
      </c>
      <c r="D272" s="861" t="s">
        <v>1388</v>
      </c>
      <c r="E272" s="861"/>
      <c r="F272" s="861"/>
      <c r="G272" s="861"/>
      <c r="H272" s="874"/>
      <c r="I272" s="874"/>
      <c r="J272" s="874"/>
      <c r="K272" s="874"/>
      <c r="L272" s="874"/>
      <c r="M272" s="874"/>
      <c r="N272" s="874"/>
      <c r="O272" s="874"/>
      <c r="P272" s="874"/>
      <c r="Q272" s="874"/>
      <c r="R272" s="874"/>
      <c r="S272" s="874"/>
    </row>
    <row r="273" spans="1:19">
      <c r="A273" s="857"/>
      <c r="B273" s="857" t="s">
        <v>597</v>
      </c>
      <c r="C273" s="873" t="s">
        <v>2025</v>
      </c>
      <c r="D273" s="861" t="s">
        <v>2086</v>
      </c>
      <c r="E273" s="861"/>
      <c r="F273" s="861"/>
      <c r="G273" s="861"/>
      <c r="H273" s="874"/>
      <c r="I273" s="874"/>
      <c r="J273" s="874"/>
      <c r="K273" s="874"/>
      <c r="L273" s="874"/>
      <c r="M273" s="874"/>
      <c r="N273" s="874"/>
      <c r="O273" s="874"/>
      <c r="P273" s="874"/>
      <c r="Q273" s="874"/>
      <c r="R273" s="874"/>
      <c r="S273" s="874"/>
    </row>
    <row r="274" spans="1:19">
      <c r="A274" s="857"/>
      <c r="B274" s="857" t="s">
        <v>598</v>
      </c>
      <c r="C274" s="873" t="s">
        <v>1476</v>
      </c>
      <c r="D274" s="861" t="s">
        <v>1355</v>
      </c>
      <c r="E274" s="861"/>
      <c r="F274" s="861"/>
      <c r="G274" s="861"/>
      <c r="H274" s="874"/>
      <c r="I274" s="874"/>
      <c r="J274" s="874"/>
      <c r="K274" s="874"/>
      <c r="L274" s="874"/>
      <c r="M274" s="874"/>
      <c r="N274" s="874"/>
      <c r="O274" s="874"/>
      <c r="P274" s="874"/>
      <c r="Q274" s="874"/>
      <c r="R274" s="874"/>
      <c r="S274" s="874"/>
    </row>
    <row r="275" spans="1:19">
      <c r="A275" s="857"/>
      <c r="B275" s="857" t="s">
        <v>598</v>
      </c>
      <c r="C275" s="873" t="s">
        <v>1477</v>
      </c>
      <c r="D275" s="861" t="s">
        <v>1356</v>
      </c>
      <c r="E275" s="861"/>
      <c r="F275" s="861"/>
      <c r="G275" s="861"/>
      <c r="H275" s="874"/>
      <c r="I275" s="874"/>
      <c r="J275" s="874"/>
      <c r="K275" s="874"/>
      <c r="L275" s="874"/>
      <c r="M275" s="874"/>
      <c r="N275" s="874"/>
      <c r="O275" s="874"/>
      <c r="P275" s="874"/>
      <c r="Q275" s="874"/>
      <c r="R275" s="874"/>
      <c r="S275" s="874"/>
    </row>
    <row r="276" spans="1:19">
      <c r="A276" s="857"/>
      <c r="B276" s="857" t="s">
        <v>1798</v>
      </c>
      <c r="C276" s="873" t="s">
        <v>1300</v>
      </c>
      <c r="D276" s="861" t="s">
        <v>1389</v>
      </c>
      <c r="E276" s="861"/>
      <c r="F276" s="861"/>
      <c r="G276" s="861"/>
      <c r="H276" s="874"/>
      <c r="I276" s="874"/>
      <c r="J276" s="874"/>
      <c r="K276" s="874"/>
      <c r="L276" s="874"/>
      <c r="M276" s="874"/>
      <c r="N276" s="874"/>
      <c r="O276" s="874"/>
      <c r="P276" s="874"/>
      <c r="Q276" s="874"/>
      <c r="R276" s="874"/>
      <c r="S276" s="874"/>
    </row>
    <row r="277" spans="1:19">
      <c r="A277" s="857"/>
      <c r="B277" s="857" t="s">
        <v>599</v>
      </c>
      <c r="C277" s="873" t="s">
        <v>1478</v>
      </c>
      <c r="D277" s="861" t="s">
        <v>1357</v>
      </c>
      <c r="E277" s="861"/>
      <c r="F277" s="861"/>
      <c r="G277" s="861"/>
      <c r="H277" s="874"/>
      <c r="I277" s="874"/>
      <c r="J277" s="874"/>
      <c r="K277" s="874"/>
      <c r="L277" s="874"/>
      <c r="M277" s="874"/>
      <c r="N277" s="874"/>
      <c r="O277" s="874"/>
      <c r="P277" s="874"/>
      <c r="Q277" s="874"/>
      <c r="R277" s="874"/>
      <c r="S277" s="874"/>
    </row>
    <row r="278" spans="1:19">
      <c r="A278" s="857"/>
      <c r="B278" s="857" t="s">
        <v>600</v>
      </c>
      <c r="C278" s="873" t="s">
        <v>1479</v>
      </c>
      <c r="D278" s="861" t="s">
        <v>1358</v>
      </c>
      <c r="E278" s="861"/>
      <c r="F278" s="861"/>
      <c r="G278" s="861"/>
      <c r="H278" s="874"/>
      <c r="I278" s="874"/>
      <c r="J278" s="874"/>
      <c r="K278" s="874"/>
      <c r="L278" s="874"/>
      <c r="M278" s="874"/>
      <c r="N278" s="874"/>
      <c r="O278" s="874"/>
      <c r="P278" s="874"/>
      <c r="Q278" s="874"/>
      <c r="R278" s="874"/>
      <c r="S278" s="874"/>
    </row>
    <row r="279" spans="1:19">
      <c r="A279" s="857"/>
      <c r="B279" s="857" t="s">
        <v>601</v>
      </c>
      <c r="C279" s="873" t="s">
        <v>1480</v>
      </c>
      <c r="D279" s="861" t="s">
        <v>1359</v>
      </c>
      <c r="E279" s="861"/>
      <c r="F279" s="861"/>
      <c r="G279" s="861"/>
      <c r="H279" s="874"/>
      <c r="I279" s="874"/>
      <c r="J279" s="874"/>
      <c r="K279" s="874"/>
      <c r="L279" s="874"/>
      <c r="M279" s="874"/>
      <c r="N279" s="874"/>
      <c r="O279" s="874"/>
      <c r="P279" s="874"/>
      <c r="Q279" s="874"/>
      <c r="R279" s="874"/>
      <c r="S279" s="874"/>
    </row>
    <row r="280" spans="1:19">
      <c r="A280" s="857"/>
      <c r="B280" s="857" t="s">
        <v>625</v>
      </c>
      <c r="C280" s="873" t="s">
        <v>1526</v>
      </c>
      <c r="D280" s="861" t="s">
        <v>1406</v>
      </c>
      <c r="E280" s="861"/>
      <c r="F280" s="861"/>
      <c r="G280" s="861"/>
      <c r="H280" s="874"/>
      <c r="I280" s="874"/>
      <c r="J280" s="874"/>
      <c r="K280" s="874"/>
      <c r="L280" s="874"/>
      <c r="M280" s="874"/>
      <c r="N280" s="874"/>
      <c r="O280" s="874"/>
      <c r="P280" s="874"/>
      <c r="Q280" s="874"/>
      <c r="R280" s="874"/>
      <c r="S280" s="874"/>
    </row>
    <row r="281" spans="1:19">
      <c r="A281" s="857"/>
      <c r="B281" s="857" t="s">
        <v>626</v>
      </c>
      <c r="C281" s="873" t="s">
        <v>1527</v>
      </c>
      <c r="D281" s="861" t="s">
        <v>1407</v>
      </c>
      <c r="E281" s="861"/>
      <c r="F281" s="861"/>
      <c r="G281" s="861"/>
      <c r="H281" s="874"/>
      <c r="I281" s="874"/>
      <c r="J281" s="874"/>
      <c r="K281" s="874"/>
      <c r="L281" s="874"/>
      <c r="M281" s="874"/>
      <c r="N281" s="874"/>
      <c r="O281" s="874"/>
      <c r="P281" s="874"/>
      <c r="Q281" s="874"/>
      <c r="R281" s="874"/>
      <c r="S281" s="874"/>
    </row>
    <row r="282" spans="1:19">
      <c r="A282" s="857"/>
      <c r="B282" s="857" t="s">
        <v>602</v>
      </c>
      <c r="C282" s="873" t="s">
        <v>1481</v>
      </c>
      <c r="D282" s="861" t="s">
        <v>1360</v>
      </c>
      <c r="E282" s="861"/>
      <c r="F282" s="861"/>
      <c r="G282" s="861"/>
      <c r="H282" s="874"/>
      <c r="I282" s="874"/>
      <c r="J282" s="874"/>
      <c r="K282" s="874"/>
      <c r="L282" s="874"/>
      <c r="M282" s="874"/>
      <c r="N282" s="874"/>
      <c r="O282" s="874"/>
      <c r="P282" s="874"/>
      <c r="Q282" s="874"/>
      <c r="R282" s="874"/>
      <c r="S282" s="874"/>
    </row>
    <row r="283" spans="1:19">
      <c r="A283" s="857"/>
      <c r="B283" s="857" t="s">
        <v>603</v>
      </c>
      <c r="C283" s="873" t="s">
        <v>1482</v>
      </c>
      <c r="D283" s="861" t="s">
        <v>1361</v>
      </c>
      <c r="E283" s="861"/>
      <c r="F283" s="861"/>
      <c r="G283" s="861"/>
      <c r="H283" s="874"/>
      <c r="I283" s="874"/>
      <c r="J283" s="874"/>
      <c r="K283" s="874"/>
      <c r="L283" s="874"/>
      <c r="M283" s="874"/>
      <c r="N283" s="874"/>
      <c r="O283" s="874"/>
      <c r="P283" s="874"/>
      <c r="Q283" s="874"/>
      <c r="R283" s="874"/>
      <c r="S283" s="874"/>
    </row>
    <row r="284" spans="1:19">
      <c r="A284" s="857"/>
      <c r="B284" s="857" t="s">
        <v>604</v>
      </c>
      <c r="C284" s="873" t="s">
        <v>1483</v>
      </c>
      <c r="D284" s="861" t="s">
        <v>1362</v>
      </c>
      <c r="E284" s="861"/>
      <c r="F284" s="861"/>
      <c r="G284" s="861"/>
      <c r="H284" s="874"/>
      <c r="I284" s="874"/>
      <c r="J284" s="874"/>
      <c r="K284" s="874"/>
      <c r="L284" s="874"/>
      <c r="M284" s="874"/>
      <c r="N284" s="874"/>
      <c r="O284" s="874"/>
      <c r="P284" s="874"/>
      <c r="Q284" s="874"/>
      <c r="R284" s="874"/>
      <c r="S284" s="874"/>
    </row>
    <row r="285" spans="1:19">
      <c r="A285" s="857"/>
      <c r="B285" s="857" t="s">
        <v>604</v>
      </c>
      <c r="C285" s="873" t="s">
        <v>1485</v>
      </c>
      <c r="D285" s="861" t="s">
        <v>1364</v>
      </c>
      <c r="E285" s="861"/>
      <c r="F285" s="861"/>
      <c r="G285" s="861"/>
      <c r="H285" s="874"/>
      <c r="I285" s="874"/>
      <c r="J285" s="874"/>
      <c r="K285" s="874"/>
      <c r="L285" s="874"/>
      <c r="M285" s="874"/>
      <c r="N285" s="874"/>
      <c r="O285" s="874"/>
      <c r="P285" s="874"/>
      <c r="Q285" s="874"/>
      <c r="R285" s="874"/>
      <c r="S285" s="874"/>
    </row>
    <row r="286" spans="1:19">
      <c r="A286" s="857"/>
      <c r="B286" s="857" t="s">
        <v>604</v>
      </c>
      <c r="C286" s="873" t="s">
        <v>1484</v>
      </c>
      <c r="D286" s="861" t="s">
        <v>1363</v>
      </c>
      <c r="E286" s="861"/>
      <c r="F286" s="861"/>
      <c r="G286" s="861"/>
      <c r="H286" s="874"/>
      <c r="I286" s="874"/>
      <c r="J286" s="874"/>
      <c r="K286" s="874"/>
      <c r="L286" s="874"/>
      <c r="M286" s="874"/>
      <c r="N286" s="874"/>
      <c r="O286" s="874"/>
      <c r="P286" s="874"/>
      <c r="Q286" s="874"/>
      <c r="R286" s="874"/>
      <c r="S286" s="874"/>
    </row>
    <row r="287" spans="1:19">
      <c r="A287" s="857"/>
      <c r="B287" s="857" t="s">
        <v>605</v>
      </c>
      <c r="C287" s="873" t="s">
        <v>1486</v>
      </c>
      <c r="D287" s="861" t="s">
        <v>1365</v>
      </c>
      <c r="E287" s="861"/>
      <c r="F287" s="861"/>
      <c r="G287" s="861"/>
      <c r="H287" s="874"/>
      <c r="I287" s="874"/>
      <c r="J287" s="874"/>
      <c r="K287" s="874"/>
      <c r="L287" s="874"/>
      <c r="M287" s="874"/>
      <c r="N287" s="874"/>
      <c r="O287" s="874"/>
      <c r="P287" s="874"/>
      <c r="Q287" s="874"/>
      <c r="R287" s="874"/>
      <c r="S287" s="874"/>
    </row>
    <row r="288" spans="1:19">
      <c r="A288" s="857"/>
      <c r="B288" s="857" t="s">
        <v>606</v>
      </c>
      <c r="C288" s="873" t="s">
        <v>1506</v>
      </c>
      <c r="D288" s="861" t="s">
        <v>1385</v>
      </c>
      <c r="E288" s="861"/>
      <c r="F288" s="861"/>
      <c r="G288" s="861"/>
      <c r="H288" s="874"/>
      <c r="I288" s="874"/>
      <c r="J288" s="874"/>
      <c r="K288" s="874"/>
      <c r="L288" s="874"/>
      <c r="M288" s="874"/>
      <c r="N288" s="874"/>
      <c r="O288" s="874"/>
      <c r="P288" s="874"/>
      <c r="Q288" s="874"/>
      <c r="R288" s="874"/>
      <c r="S288" s="874"/>
    </row>
    <row r="289" spans="1:19">
      <c r="A289" s="857"/>
      <c r="B289" s="857" t="s">
        <v>606</v>
      </c>
      <c r="C289" s="873" t="s">
        <v>1487</v>
      </c>
      <c r="D289" s="861" t="s">
        <v>1366</v>
      </c>
      <c r="E289" s="861"/>
      <c r="F289" s="861"/>
      <c r="G289" s="861"/>
      <c r="H289" s="874"/>
      <c r="I289" s="874"/>
      <c r="J289" s="874"/>
      <c r="K289" s="874"/>
      <c r="L289" s="874"/>
      <c r="M289" s="874"/>
      <c r="N289" s="874"/>
      <c r="O289" s="874"/>
      <c r="P289" s="874"/>
      <c r="Q289" s="874"/>
      <c r="R289" s="874"/>
      <c r="S289" s="874"/>
    </row>
    <row r="290" spans="1:19">
      <c r="A290" s="857"/>
      <c r="B290" s="857" t="s">
        <v>606</v>
      </c>
      <c r="C290" s="873" t="s">
        <v>1508</v>
      </c>
      <c r="D290" s="861" t="s">
        <v>1387</v>
      </c>
      <c r="E290" s="861"/>
      <c r="F290" s="861"/>
      <c r="G290" s="861"/>
      <c r="H290" s="874"/>
      <c r="I290" s="874"/>
      <c r="J290" s="874"/>
      <c r="K290" s="874"/>
      <c r="L290" s="874"/>
      <c r="M290" s="874"/>
      <c r="N290" s="874"/>
      <c r="O290" s="874"/>
      <c r="P290" s="874"/>
      <c r="Q290" s="874"/>
      <c r="R290" s="874"/>
      <c r="S290" s="874"/>
    </row>
    <row r="291" spans="1:19">
      <c r="A291" s="857"/>
      <c r="B291" s="857" t="s">
        <v>606</v>
      </c>
      <c r="C291" s="873" t="s">
        <v>1488</v>
      </c>
      <c r="D291" s="861" t="s">
        <v>1367</v>
      </c>
      <c r="E291" s="861"/>
      <c r="F291" s="861"/>
      <c r="G291" s="861"/>
      <c r="H291" s="874"/>
      <c r="I291" s="874"/>
      <c r="J291" s="874"/>
      <c r="K291" s="874"/>
      <c r="L291" s="874"/>
      <c r="M291" s="874"/>
      <c r="N291" s="874"/>
      <c r="O291" s="874"/>
      <c r="P291" s="874"/>
      <c r="Q291" s="874"/>
      <c r="R291" s="874"/>
      <c r="S291" s="874"/>
    </row>
    <row r="292" spans="1:19">
      <c r="A292" s="857"/>
      <c r="B292" s="857" t="s">
        <v>606</v>
      </c>
      <c r="C292" s="873" t="s">
        <v>2026</v>
      </c>
      <c r="D292" s="861" t="s">
        <v>2087</v>
      </c>
      <c r="E292" s="861"/>
      <c r="F292" s="861"/>
      <c r="G292" s="861"/>
      <c r="H292" s="874"/>
      <c r="I292" s="874"/>
      <c r="J292" s="874"/>
      <c r="K292" s="874"/>
      <c r="L292" s="874"/>
      <c r="M292" s="874"/>
      <c r="N292" s="874"/>
      <c r="O292" s="874"/>
      <c r="P292" s="874"/>
      <c r="Q292" s="874"/>
      <c r="R292" s="874"/>
      <c r="S292" s="874"/>
    </row>
    <row r="293" spans="1:19">
      <c r="A293" s="857"/>
      <c r="B293" s="857" t="s">
        <v>606</v>
      </c>
      <c r="C293" s="873" t="s">
        <v>1537</v>
      </c>
      <c r="D293" s="861" t="s">
        <v>1417</v>
      </c>
      <c r="E293" s="861"/>
      <c r="F293" s="861"/>
      <c r="G293" s="861"/>
      <c r="H293" s="874"/>
      <c r="I293" s="874"/>
      <c r="J293" s="874"/>
      <c r="K293" s="874"/>
      <c r="L293" s="874"/>
      <c r="M293" s="874"/>
      <c r="N293" s="874"/>
      <c r="O293" s="874"/>
      <c r="P293" s="874"/>
      <c r="Q293" s="874"/>
      <c r="R293" s="874"/>
      <c r="S293" s="874"/>
    </row>
    <row r="294" spans="1:19">
      <c r="A294" s="857"/>
      <c r="B294" s="857" t="s">
        <v>606</v>
      </c>
      <c r="C294" s="873" t="s">
        <v>1535</v>
      </c>
      <c r="D294" s="861" t="s">
        <v>1415</v>
      </c>
      <c r="E294" s="861"/>
      <c r="F294" s="861"/>
      <c r="G294" s="861"/>
      <c r="H294" s="874"/>
      <c r="I294" s="874"/>
      <c r="J294" s="874"/>
      <c r="K294" s="874"/>
      <c r="L294" s="874"/>
      <c r="M294" s="874"/>
      <c r="N294" s="874"/>
      <c r="O294" s="874"/>
      <c r="P294" s="874"/>
      <c r="Q294" s="874"/>
      <c r="R294" s="874"/>
      <c r="S294" s="874"/>
    </row>
    <row r="295" spans="1:19">
      <c r="A295" s="857"/>
      <c r="B295" s="857" t="s">
        <v>607</v>
      </c>
      <c r="C295" s="873" t="s">
        <v>1489</v>
      </c>
      <c r="D295" s="861" t="s">
        <v>1368</v>
      </c>
      <c r="E295" s="861"/>
      <c r="F295" s="861"/>
      <c r="G295" s="861"/>
      <c r="H295" s="874"/>
      <c r="I295" s="874"/>
      <c r="J295" s="874"/>
      <c r="K295" s="874"/>
      <c r="L295" s="874"/>
      <c r="M295" s="874"/>
      <c r="N295" s="874"/>
      <c r="O295" s="874"/>
      <c r="P295" s="874"/>
      <c r="Q295" s="874"/>
      <c r="R295" s="874"/>
      <c r="S295" s="874"/>
    </row>
    <row r="296" spans="1:19">
      <c r="A296" s="857"/>
      <c r="B296" s="857" t="s">
        <v>607</v>
      </c>
      <c r="C296" s="873" t="s">
        <v>1490</v>
      </c>
      <c r="D296" s="861" t="s">
        <v>1369</v>
      </c>
      <c r="E296" s="861"/>
      <c r="F296" s="861"/>
      <c r="G296" s="861"/>
      <c r="H296" s="874"/>
      <c r="I296" s="874"/>
      <c r="J296" s="874"/>
      <c r="K296" s="874"/>
      <c r="L296" s="874"/>
      <c r="M296" s="874"/>
      <c r="N296" s="874"/>
      <c r="O296" s="874"/>
      <c r="P296" s="874"/>
      <c r="Q296" s="874"/>
      <c r="R296" s="874"/>
      <c r="S296" s="874"/>
    </row>
    <row r="297" spans="1:19">
      <c r="A297" s="857"/>
      <c r="B297" s="857" t="s">
        <v>607</v>
      </c>
      <c r="C297" s="873" t="s">
        <v>1491</v>
      </c>
      <c r="D297" s="861" t="s">
        <v>1370</v>
      </c>
      <c r="E297" s="861"/>
      <c r="F297" s="861"/>
      <c r="G297" s="861"/>
      <c r="H297" s="874"/>
      <c r="I297" s="874"/>
      <c r="J297" s="874"/>
      <c r="K297" s="874"/>
      <c r="L297" s="874"/>
      <c r="M297" s="874"/>
      <c r="N297" s="874"/>
      <c r="O297" s="874"/>
      <c r="P297" s="874"/>
      <c r="Q297" s="874"/>
      <c r="R297" s="874"/>
      <c r="S297" s="874"/>
    </row>
    <row r="298" spans="1:19">
      <c r="A298" s="857"/>
      <c r="B298" s="857" t="s">
        <v>607</v>
      </c>
      <c r="C298" s="873" t="s">
        <v>2027</v>
      </c>
      <c r="D298" s="861" t="s">
        <v>2088</v>
      </c>
      <c r="E298" s="861"/>
      <c r="F298" s="861"/>
      <c r="G298" s="861"/>
      <c r="H298" s="874"/>
      <c r="I298" s="874"/>
      <c r="J298" s="874"/>
      <c r="K298" s="874"/>
      <c r="L298" s="874"/>
      <c r="M298" s="874"/>
      <c r="N298" s="874"/>
      <c r="O298" s="874"/>
      <c r="P298" s="874"/>
      <c r="Q298" s="874"/>
      <c r="R298" s="874"/>
      <c r="S298" s="874"/>
    </row>
    <row r="299" spans="1:19">
      <c r="A299" s="857"/>
      <c r="B299" s="857" t="s">
        <v>608</v>
      </c>
      <c r="C299" s="873" t="s">
        <v>1492</v>
      </c>
      <c r="D299" s="861" t="s">
        <v>1371</v>
      </c>
      <c r="E299" s="861"/>
      <c r="F299" s="861"/>
      <c r="G299" s="861"/>
      <c r="H299" s="874"/>
      <c r="I299" s="874"/>
      <c r="J299" s="874"/>
      <c r="K299" s="874"/>
      <c r="L299" s="874"/>
      <c r="M299" s="874"/>
      <c r="N299" s="874"/>
      <c r="O299" s="874"/>
      <c r="P299" s="874"/>
      <c r="Q299" s="874"/>
      <c r="R299" s="874"/>
      <c r="S299" s="874"/>
    </row>
    <row r="300" spans="1:19">
      <c r="A300" s="857"/>
      <c r="B300" s="857" t="s">
        <v>609</v>
      </c>
      <c r="C300" s="873" t="s">
        <v>1493</v>
      </c>
      <c r="D300" s="861" t="s">
        <v>1372</v>
      </c>
      <c r="E300" s="861"/>
      <c r="F300" s="861"/>
      <c r="G300" s="861"/>
      <c r="H300" s="874"/>
      <c r="I300" s="874"/>
      <c r="J300" s="874"/>
      <c r="K300" s="874"/>
      <c r="L300" s="874"/>
      <c r="M300" s="874"/>
      <c r="N300" s="874"/>
      <c r="O300" s="874"/>
      <c r="P300" s="874"/>
      <c r="Q300" s="874"/>
      <c r="R300" s="874"/>
      <c r="S300" s="874"/>
    </row>
    <row r="301" spans="1:19">
      <c r="A301" s="857"/>
      <c r="B301" s="857" t="s">
        <v>2028</v>
      </c>
      <c r="C301" s="873" t="s">
        <v>2029</v>
      </c>
      <c r="D301" s="861" t="s">
        <v>2089</v>
      </c>
      <c r="E301" s="861"/>
      <c r="F301" s="861"/>
      <c r="G301" s="861"/>
      <c r="H301" s="874"/>
      <c r="I301" s="874"/>
      <c r="J301" s="874"/>
      <c r="K301" s="874"/>
      <c r="L301" s="874"/>
      <c r="M301" s="874"/>
      <c r="N301" s="874"/>
      <c r="O301" s="874"/>
      <c r="P301" s="874"/>
      <c r="Q301" s="874"/>
      <c r="R301" s="874"/>
      <c r="S301" s="874"/>
    </row>
    <row r="302" spans="1:19">
      <c r="A302" s="857"/>
      <c r="B302" s="857" t="s">
        <v>2030</v>
      </c>
      <c r="C302" s="873" t="s">
        <v>2031</v>
      </c>
      <c r="D302" s="861" t="s">
        <v>2090</v>
      </c>
      <c r="E302" s="861"/>
      <c r="F302" s="861"/>
      <c r="G302" s="861"/>
      <c r="H302" s="874"/>
      <c r="I302" s="874"/>
      <c r="J302" s="874"/>
      <c r="K302" s="874"/>
      <c r="L302" s="874"/>
      <c r="M302" s="874"/>
      <c r="N302" s="874"/>
      <c r="O302" s="874"/>
      <c r="P302" s="874"/>
      <c r="Q302" s="874"/>
      <c r="R302" s="874"/>
      <c r="S302" s="874"/>
    </row>
    <row r="303" spans="1:19">
      <c r="A303" s="857"/>
      <c r="B303" s="857" t="s">
        <v>610</v>
      </c>
      <c r="C303" s="873" t="s">
        <v>1494</v>
      </c>
      <c r="D303" s="861" t="s">
        <v>1373</v>
      </c>
      <c r="E303" s="861"/>
      <c r="F303" s="861"/>
      <c r="G303" s="861"/>
      <c r="H303" s="874"/>
      <c r="I303" s="874"/>
      <c r="J303" s="874"/>
      <c r="K303" s="874"/>
      <c r="L303" s="874"/>
      <c r="M303" s="874"/>
      <c r="N303" s="874"/>
      <c r="O303" s="874"/>
      <c r="P303" s="874"/>
      <c r="Q303" s="874"/>
      <c r="R303" s="874"/>
      <c r="S303" s="874"/>
    </row>
    <row r="304" spans="1:19">
      <c r="A304" s="857"/>
      <c r="B304" s="857" t="s">
        <v>611</v>
      </c>
      <c r="C304" s="873" t="s">
        <v>1495</v>
      </c>
      <c r="D304" s="861" t="s">
        <v>1374</v>
      </c>
      <c r="E304" s="861"/>
      <c r="F304" s="861"/>
      <c r="G304" s="861"/>
      <c r="H304" s="874"/>
      <c r="I304" s="874"/>
      <c r="J304" s="874"/>
      <c r="K304" s="874"/>
      <c r="L304" s="874"/>
      <c r="M304" s="874"/>
      <c r="N304" s="874"/>
      <c r="O304" s="874"/>
      <c r="P304" s="874"/>
      <c r="Q304" s="874"/>
      <c r="R304" s="874"/>
      <c r="S304" s="874"/>
    </row>
    <row r="305" spans="1:19">
      <c r="A305" s="857"/>
      <c r="B305" s="857" t="s">
        <v>611</v>
      </c>
      <c r="C305" s="873" t="s">
        <v>1540</v>
      </c>
      <c r="D305" s="861" t="s">
        <v>1420</v>
      </c>
      <c r="E305" s="861"/>
      <c r="F305" s="861"/>
      <c r="G305" s="861"/>
      <c r="H305" s="874"/>
      <c r="I305" s="874"/>
      <c r="J305" s="874"/>
      <c r="K305" s="874"/>
      <c r="L305" s="874"/>
      <c r="M305" s="874"/>
      <c r="N305" s="874"/>
      <c r="O305" s="874"/>
      <c r="P305" s="874"/>
      <c r="Q305" s="874"/>
      <c r="R305" s="874"/>
      <c r="S305" s="874"/>
    </row>
    <row r="306" spans="1:19">
      <c r="A306" s="857"/>
      <c r="B306" s="857" t="s">
        <v>612</v>
      </c>
      <c r="C306" s="873" t="s">
        <v>1496</v>
      </c>
      <c r="D306" s="861" t="s">
        <v>1375</v>
      </c>
      <c r="E306" s="861"/>
      <c r="F306" s="861"/>
      <c r="G306" s="861"/>
      <c r="H306" s="874"/>
      <c r="I306" s="874"/>
      <c r="J306" s="874"/>
      <c r="K306" s="874"/>
      <c r="L306" s="874"/>
      <c r="M306" s="874"/>
      <c r="N306" s="874"/>
      <c r="O306" s="874"/>
      <c r="P306" s="874"/>
      <c r="Q306" s="874"/>
      <c r="R306" s="874"/>
      <c r="S306" s="874"/>
    </row>
    <row r="307" spans="1:19">
      <c r="A307" s="857"/>
      <c r="B307" s="857" t="s">
        <v>613</v>
      </c>
      <c r="C307" s="873" t="s">
        <v>1497</v>
      </c>
      <c r="D307" s="861" t="s">
        <v>1376</v>
      </c>
      <c r="E307" s="861"/>
      <c r="F307" s="861"/>
      <c r="G307" s="861"/>
      <c r="H307" s="874"/>
      <c r="I307" s="874"/>
      <c r="J307" s="874"/>
      <c r="K307" s="874"/>
      <c r="L307" s="874"/>
      <c r="M307" s="874"/>
      <c r="N307" s="874"/>
      <c r="O307" s="874"/>
      <c r="P307" s="874"/>
      <c r="Q307" s="874"/>
      <c r="R307" s="874"/>
      <c r="S307" s="874"/>
    </row>
    <row r="308" spans="1:19">
      <c r="A308" s="857"/>
      <c r="B308" s="857" t="s">
        <v>614</v>
      </c>
      <c r="C308" s="873" t="s">
        <v>1498</v>
      </c>
      <c r="D308" s="861" t="s">
        <v>1377</v>
      </c>
      <c r="E308" s="861"/>
      <c r="F308" s="861"/>
      <c r="G308" s="861"/>
      <c r="H308" s="874"/>
      <c r="I308" s="874"/>
      <c r="J308" s="874"/>
      <c r="K308" s="874"/>
      <c r="L308" s="874"/>
      <c r="M308" s="874"/>
      <c r="N308" s="874"/>
      <c r="O308" s="874"/>
      <c r="P308" s="874"/>
      <c r="Q308" s="874"/>
      <c r="R308" s="874"/>
      <c r="S308" s="874"/>
    </row>
    <row r="309" spans="1:19">
      <c r="A309" s="857"/>
      <c r="B309" s="857" t="s">
        <v>615</v>
      </c>
      <c r="C309" s="873" t="s">
        <v>1499</v>
      </c>
      <c r="D309" s="861" t="s">
        <v>1378</v>
      </c>
      <c r="E309" s="861"/>
      <c r="F309" s="861"/>
      <c r="G309" s="861"/>
      <c r="H309" s="874"/>
      <c r="I309" s="874"/>
      <c r="J309" s="874"/>
      <c r="K309" s="874"/>
      <c r="L309" s="874"/>
      <c r="M309" s="874"/>
      <c r="N309" s="874"/>
      <c r="O309" s="874"/>
      <c r="P309" s="874"/>
      <c r="Q309" s="874"/>
      <c r="R309" s="874"/>
      <c r="S309" s="874"/>
    </row>
    <row r="310" spans="1:19">
      <c r="A310" s="857"/>
      <c r="B310" s="857" t="s">
        <v>616</v>
      </c>
      <c r="C310" s="873" t="s">
        <v>1500</v>
      </c>
      <c r="D310" s="861" t="s">
        <v>1379</v>
      </c>
      <c r="E310" s="861"/>
      <c r="F310" s="861"/>
      <c r="G310" s="861"/>
      <c r="H310" s="874"/>
      <c r="I310" s="874"/>
      <c r="J310" s="874"/>
      <c r="K310" s="874"/>
      <c r="L310" s="874"/>
      <c r="M310" s="874"/>
      <c r="N310" s="874"/>
      <c r="O310" s="874"/>
      <c r="P310" s="874"/>
      <c r="Q310" s="874"/>
      <c r="R310" s="874"/>
      <c r="S310" s="874"/>
    </row>
    <row r="311" spans="1:19">
      <c r="A311" s="857"/>
      <c r="B311" s="857" t="s">
        <v>617</v>
      </c>
      <c r="C311" s="873" t="s">
        <v>1501</v>
      </c>
      <c r="D311" s="861" t="s">
        <v>1380</v>
      </c>
      <c r="E311" s="861"/>
      <c r="F311" s="861"/>
      <c r="G311" s="861"/>
      <c r="H311" s="874"/>
      <c r="I311" s="874"/>
      <c r="J311" s="874"/>
      <c r="K311" s="874"/>
      <c r="L311" s="874"/>
      <c r="M311" s="874"/>
      <c r="N311" s="874"/>
      <c r="O311" s="874"/>
      <c r="P311" s="874"/>
      <c r="Q311" s="874"/>
      <c r="R311" s="874"/>
      <c r="S311" s="874"/>
    </row>
    <row r="312" spans="1:19">
      <c r="A312" s="857"/>
      <c r="B312" s="857" t="s">
        <v>617</v>
      </c>
      <c r="C312" s="873" t="s">
        <v>1541</v>
      </c>
      <c r="D312" s="861" t="s">
        <v>1421</v>
      </c>
      <c r="E312" s="861"/>
      <c r="G312" s="861"/>
      <c r="H312" s="874"/>
      <c r="I312" s="874"/>
      <c r="J312" s="874"/>
      <c r="K312" s="874"/>
      <c r="L312" s="874"/>
      <c r="M312" s="874"/>
      <c r="N312" s="874"/>
      <c r="O312" s="874"/>
      <c r="P312" s="874"/>
      <c r="Q312" s="874"/>
      <c r="R312" s="874"/>
      <c r="S312" s="874"/>
    </row>
    <row r="313" spans="1:19">
      <c r="A313" s="857"/>
      <c r="B313" s="857" t="s">
        <v>619</v>
      </c>
      <c r="C313" s="873" t="s">
        <v>1502</v>
      </c>
      <c r="D313" s="861" t="s">
        <v>1381</v>
      </c>
      <c r="E313" s="861"/>
      <c r="F313" s="861"/>
      <c r="G313" s="861"/>
      <c r="H313" s="874"/>
      <c r="I313" s="874"/>
      <c r="J313" s="874"/>
      <c r="K313" s="874"/>
      <c r="L313" s="874"/>
      <c r="M313" s="874"/>
      <c r="N313" s="874"/>
      <c r="O313" s="874"/>
      <c r="P313" s="874"/>
      <c r="Q313" s="874"/>
      <c r="R313" s="874"/>
      <c r="S313" s="874"/>
    </row>
    <row r="314" spans="1:19">
      <c r="A314" s="857"/>
      <c r="B314" s="857" t="s">
        <v>620</v>
      </c>
      <c r="C314" s="873" t="s">
        <v>1503</v>
      </c>
      <c r="D314" s="861" t="s">
        <v>1382</v>
      </c>
      <c r="E314" s="861"/>
      <c r="G314" s="861"/>
      <c r="H314" s="874"/>
      <c r="I314" s="874"/>
      <c r="J314" s="874"/>
      <c r="K314" s="874"/>
      <c r="L314" s="874"/>
      <c r="M314" s="874"/>
      <c r="N314" s="874"/>
      <c r="O314" s="874"/>
      <c r="P314" s="874"/>
      <c r="Q314" s="874"/>
      <c r="R314" s="874"/>
      <c r="S314" s="874"/>
    </row>
    <row r="315" spans="1:19">
      <c r="A315" s="857"/>
      <c r="B315" s="857" t="s">
        <v>621</v>
      </c>
      <c r="C315" s="873" t="s">
        <v>1504</v>
      </c>
      <c r="D315" s="861" t="s">
        <v>1383</v>
      </c>
      <c r="E315" s="861"/>
      <c r="F315" s="861"/>
      <c r="G315" s="861"/>
      <c r="H315" s="874"/>
      <c r="I315" s="874"/>
      <c r="J315" s="874"/>
      <c r="K315" s="874"/>
      <c r="L315" s="874"/>
      <c r="M315" s="874"/>
      <c r="N315" s="874"/>
      <c r="O315" s="874"/>
      <c r="P315" s="874"/>
      <c r="Q315" s="874"/>
      <c r="R315" s="874"/>
      <c r="S315" s="874"/>
    </row>
    <row r="316" spans="1:19">
      <c r="A316" s="857"/>
      <c r="B316" s="857" t="s">
        <v>1799</v>
      </c>
      <c r="C316" s="873" t="s">
        <v>1507</v>
      </c>
      <c r="D316" s="861" t="s">
        <v>1386</v>
      </c>
      <c r="E316" s="861"/>
      <c r="F316" s="861"/>
      <c r="G316" s="861"/>
      <c r="H316" s="874"/>
      <c r="I316" s="874"/>
      <c r="J316" s="874"/>
      <c r="K316" s="874"/>
      <c r="L316" s="874"/>
      <c r="M316" s="874"/>
      <c r="N316" s="874"/>
      <c r="O316" s="874"/>
      <c r="P316" s="874"/>
      <c r="Q316" s="874"/>
      <c r="R316" s="874"/>
      <c r="S316" s="874"/>
    </row>
    <row r="317" spans="1:19">
      <c r="A317" s="857" t="s">
        <v>2032</v>
      </c>
      <c r="B317" s="857" t="s">
        <v>623</v>
      </c>
      <c r="C317" s="873" t="s">
        <v>1512</v>
      </c>
      <c r="D317" s="861" t="s">
        <v>1392</v>
      </c>
      <c r="E317" s="861"/>
      <c r="F317" s="861"/>
      <c r="G317" s="861"/>
      <c r="H317" s="874"/>
      <c r="I317" s="874"/>
      <c r="J317" s="874"/>
      <c r="K317" s="874"/>
      <c r="L317" s="874"/>
      <c r="M317" s="874"/>
      <c r="N317" s="874"/>
      <c r="O317" s="874"/>
      <c r="P317" s="874"/>
      <c r="Q317" s="874"/>
      <c r="R317" s="874"/>
      <c r="S317" s="874"/>
    </row>
    <row r="318" spans="1:19">
      <c r="A318" s="857" t="s">
        <v>2272</v>
      </c>
      <c r="B318" s="857" t="s">
        <v>623</v>
      </c>
      <c r="C318" s="873" t="s">
        <v>1513</v>
      </c>
      <c r="D318" s="861" t="s">
        <v>1393</v>
      </c>
      <c r="E318" s="861"/>
      <c r="F318" s="861"/>
      <c r="G318" s="861"/>
      <c r="H318" s="874"/>
      <c r="I318" s="874"/>
      <c r="J318" s="874"/>
      <c r="K318" s="874"/>
      <c r="L318" s="874"/>
      <c r="M318" s="874"/>
      <c r="N318" s="874"/>
      <c r="O318" s="874"/>
      <c r="P318" s="874"/>
      <c r="Q318" s="874"/>
      <c r="R318" s="874"/>
      <c r="S318" s="874"/>
    </row>
    <row r="319" spans="1:19">
      <c r="A319" s="857"/>
      <c r="B319" s="857" t="s">
        <v>623</v>
      </c>
      <c r="C319" s="873" t="s">
        <v>1514</v>
      </c>
      <c r="D319" s="861" t="s">
        <v>1394</v>
      </c>
      <c r="E319" s="861"/>
      <c r="F319" s="861"/>
      <c r="G319" s="861"/>
      <c r="H319" s="874"/>
      <c r="I319" s="874"/>
      <c r="J319" s="874"/>
      <c r="K319" s="874"/>
      <c r="L319" s="874"/>
      <c r="M319" s="874"/>
      <c r="N319" s="874"/>
      <c r="O319" s="874"/>
      <c r="P319" s="874"/>
      <c r="Q319" s="874"/>
      <c r="R319" s="874"/>
      <c r="S319" s="874"/>
    </row>
    <row r="320" spans="1:19">
      <c r="A320" s="857"/>
      <c r="B320" s="857" t="s">
        <v>597</v>
      </c>
      <c r="C320" s="873" t="s">
        <v>1515</v>
      </c>
      <c r="D320" s="861" t="s">
        <v>1395</v>
      </c>
      <c r="E320" s="861"/>
      <c r="F320" s="861"/>
      <c r="G320" s="861"/>
      <c r="H320" s="874"/>
      <c r="I320" s="874"/>
      <c r="J320" s="874"/>
      <c r="K320" s="874"/>
      <c r="L320" s="874"/>
      <c r="M320" s="874"/>
      <c r="N320" s="874"/>
      <c r="O320" s="874"/>
      <c r="P320" s="874"/>
      <c r="Q320" s="874"/>
      <c r="R320" s="874"/>
      <c r="S320" s="874"/>
    </row>
    <row r="321" spans="1:19">
      <c r="A321" s="857"/>
      <c r="B321" s="857" t="s">
        <v>597</v>
      </c>
      <c r="C321" s="873" t="s">
        <v>1516</v>
      </c>
      <c r="D321" s="861" t="s">
        <v>1396</v>
      </c>
      <c r="E321" s="861"/>
      <c r="F321" s="861"/>
      <c r="G321" s="861"/>
      <c r="H321" s="874"/>
      <c r="I321" s="874"/>
      <c r="J321" s="874"/>
      <c r="K321" s="874"/>
      <c r="L321" s="874"/>
      <c r="M321" s="874"/>
      <c r="N321" s="874"/>
      <c r="O321" s="874"/>
      <c r="P321" s="874"/>
      <c r="Q321" s="874"/>
      <c r="R321" s="874"/>
      <c r="S321" s="874"/>
    </row>
    <row r="322" spans="1:19">
      <c r="A322" s="857"/>
      <c r="B322" s="857" t="s">
        <v>597</v>
      </c>
      <c r="C322" s="873" t="s">
        <v>1518</v>
      </c>
      <c r="D322" s="861" t="s">
        <v>1398</v>
      </c>
      <c r="E322" s="861"/>
      <c r="F322" s="861"/>
      <c r="G322" s="861"/>
      <c r="H322" s="874"/>
      <c r="I322" s="874"/>
      <c r="J322" s="874"/>
      <c r="K322" s="874"/>
      <c r="L322" s="874"/>
      <c r="M322" s="874"/>
      <c r="N322" s="874"/>
      <c r="O322" s="874"/>
      <c r="P322" s="874"/>
      <c r="Q322" s="874"/>
      <c r="R322" s="874"/>
      <c r="S322" s="874"/>
    </row>
    <row r="323" spans="1:19">
      <c r="A323" s="857"/>
      <c r="B323" s="857" t="s">
        <v>597</v>
      </c>
      <c r="C323" s="873" t="s">
        <v>1517</v>
      </c>
      <c r="D323" s="861" t="s">
        <v>1397</v>
      </c>
      <c r="E323" s="861"/>
      <c r="F323" s="861"/>
      <c r="G323" s="861"/>
      <c r="H323" s="874"/>
      <c r="I323" s="874"/>
      <c r="J323" s="874"/>
      <c r="K323" s="874"/>
      <c r="L323" s="874"/>
      <c r="M323" s="874"/>
      <c r="N323" s="874"/>
      <c r="O323" s="874"/>
      <c r="P323" s="874"/>
      <c r="Q323" s="874"/>
      <c r="R323" s="874"/>
      <c r="S323" s="874"/>
    </row>
    <row r="324" spans="1:19">
      <c r="A324" s="857"/>
      <c r="B324" s="857" t="s">
        <v>599</v>
      </c>
      <c r="C324" s="873" t="s">
        <v>1519</v>
      </c>
      <c r="D324" s="861" t="s">
        <v>1399</v>
      </c>
      <c r="E324" s="861"/>
      <c r="F324" s="861"/>
      <c r="G324" s="861"/>
      <c r="H324" s="874"/>
      <c r="I324" s="874"/>
      <c r="J324" s="874"/>
      <c r="K324" s="874"/>
      <c r="L324" s="874"/>
      <c r="M324" s="874"/>
      <c r="N324" s="874"/>
      <c r="O324" s="874"/>
      <c r="P324" s="874"/>
      <c r="Q324" s="874"/>
      <c r="R324" s="874"/>
      <c r="S324" s="874"/>
    </row>
    <row r="325" spans="1:19">
      <c r="A325" s="857"/>
      <c r="B325" s="857" t="s">
        <v>599</v>
      </c>
      <c r="C325" s="873" t="s">
        <v>1520</v>
      </c>
      <c r="D325" s="861" t="s">
        <v>1400</v>
      </c>
      <c r="E325" s="861"/>
      <c r="F325" s="861"/>
      <c r="G325" s="861"/>
      <c r="H325" s="874"/>
      <c r="I325" s="874"/>
      <c r="J325" s="874"/>
      <c r="K325" s="874"/>
      <c r="L325" s="874"/>
      <c r="M325" s="874"/>
      <c r="N325" s="874"/>
      <c r="O325" s="874"/>
      <c r="P325" s="874"/>
      <c r="Q325" s="874"/>
      <c r="R325" s="874"/>
      <c r="S325" s="874"/>
    </row>
    <row r="326" spans="1:19">
      <c r="A326" s="857"/>
      <c r="B326" s="857" t="s">
        <v>599</v>
      </c>
      <c r="C326" s="873" t="s">
        <v>1521</v>
      </c>
      <c r="D326" s="861" t="s">
        <v>1401</v>
      </c>
      <c r="E326" s="861"/>
      <c r="F326" s="861"/>
      <c r="G326" s="861"/>
      <c r="H326" s="874"/>
      <c r="I326" s="874"/>
      <c r="J326" s="874"/>
      <c r="K326" s="874"/>
      <c r="L326" s="874"/>
      <c r="M326" s="874"/>
      <c r="N326" s="874"/>
      <c r="O326" s="874"/>
      <c r="P326" s="874"/>
      <c r="Q326" s="874"/>
      <c r="R326" s="874"/>
      <c r="S326" s="874"/>
    </row>
    <row r="327" spans="1:19">
      <c r="A327" s="857"/>
      <c r="B327" s="857" t="s">
        <v>599</v>
      </c>
      <c r="C327" s="873" t="s">
        <v>1522</v>
      </c>
      <c r="D327" s="861" t="s">
        <v>1402</v>
      </c>
      <c r="E327" s="861"/>
      <c r="F327" s="861"/>
      <c r="G327" s="861"/>
      <c r="H327" s="874"/>
      <c r="I327" s="874"/>
      <c r="J327" s="874"/>
      <c r="K327" s="874"/>
      <c r="L327" s="874"/>
      <c r="M327" s="874"/>
      <c r="N327" s="874"/>
      <c r="O327" s="874"/>
      <c r="P327" s="874"/>
      <c r="Q327" s="874"/>
      <c r="R327" s="874"/>
      <c r="S327" s="874"/>
    </row>
    <row r="328" spans="1:19">
      <c r="A328" s="857"/>
      <c r="B328" s="857" t="s">
        <v>599</v>
      </c>
      <c r="C328" s="873" t="s">
        <v>1523</v>
      </c>
      <c r="D328" s="861" t="s">
        <v>1403</v>
      </c>
      <c r="E328" s="861"/>
      <c r="F328" s="861"/>
      <c r="G328" s="861"/>
      <c r="H328" s="874"/>
      <c r="I328" s="874"/>
      <c r="J328" s="874"/>
      <c r="K328" s="874"/>
      <c r="L328" s="874"/>
      <c r="M328" s="874"/>
      <c r="N328" s="874"/>
      <c r="O328" s="874"/>
      <c r="P328" s="874"/>
      <c r="Q328" s="874"/>
      <c r="R328" s="874"/>
      <c r="S328" s="874"/>
    </row>
    <row r="329" spans="1:19">
      <c r="A329" s="857"/>
      <c r="B329" s="857" t="s">
        <v>624</v>
      </c>
      <c r="C329" s="873" t="s">
        <v>1524</v>
      </c>
      <c r="D329" s="861" t="s">
        <v>1404</v>
      </c>
      <c r="E329" s="861"/>
      <c r="F329" s="861"/>
      <c r="G329" s="861"/>
      <c r="H329" s="874"/>
      <c r="I329" s="874"/>
      <c r="J329" s="874"/>
      <c r="K329" s="874"/>
      <c r="L329" s="874"/>
      <c r="M329" s="874"/>
      <c r="N329" s="874"/>
      <c r="O329" s="874"/>
      <c r="P329" s="874"/>
      <c r="Q329" s="874"/>
      <c r="R329" s="874"/>
      <c r="S329" s="874"/>
    </row>
    <row r="330" spans="1:19">
      <c r="A330" s="857"/>
      <c r="B330" s="857" t="s">
        <v>624</v>
      </c>
      <c r="C330" s="873" t="s">
        <v>1525</v>
      </c>
      <c r="D330" s="861" t="s">
        <v>1405</v>
      </c>
      <c r="E330" s="861"/>
      <c r="F330" s="861"/>
      <c r="G330" s="861"/>
      <c r="H330" s="874"/>
      <c r="I330" s="874"/>
      <c r="J330" s="874"/>
      <c r="K330" s="874"/>
      <c r="L330" s="874"/>
      <c r="M330" s="874"/>
      <c r="N330" s="874"/>
      <c r="O330" s="874"/>
      <c r="P330" s="874"/>
      <c r="Q330" s="874"/>
      <c r="R330" s="874"/>
      <c r="S330" s="874"/>
    </row>
    <row r="331" spans="1:19">
      <c r="A331" s="857"/>
      <c r="B331" s="857" t="s">
        <v>602</v>
      </c>
      <c r="C331" s="873" t="s">
        <v>1528</v>
      </c>
      <c r="D331" s="861" t="s">
        <v>1408</v>
      </c>
      <c r="E331" s="861"/>
      <c r="F331" s="861"/>
      <c r="G331" s="861"/>
      <c r="H331" s="874"/>
      <c r="I331" s="874"/>
      <c r="J331" s="874"/>
      <c r="K331" s="874"/>
      <c r="L331" s="874"/>
      <c r="M331" s="874"/>
      <c r="N331" s="874"/>
      <c r="O331" s="874"/>
      <c r="P331" s="874"/>
      <c r="Q331" s="874"/>
      <c r="R331" s="874"/>
      <c r="S331" s="874"/>
    </row>
    <row r="332" spans="1:19">
      <c r="A332" s="857"/>
      <c r="B332" s="857" t="s">
        <v>714</v>
      </c>
      <c r="C332" s="873" t="s">
        <v>1529</v>
      </c>
      <c r="D332" s="861" t="s">
        <v>1409</v>
      </c>
      <c r="E332" s="861"/>
      <c r="F332" s="861"/>
      <c r="G332" s="861"/>
      <c r="H332" s="874"/>
      <c r="I332" s="874"/>
      <c r="J332" s="874"/>
      <c r="K332" s="874"/>
      <c r="L332" s="874"/>
      <c r="M332" s="874"/>
      <c r="N332" s="874"/>
      <c r="O332" s="874"/>
      <c r="P332" s="874"/>
      <c r="Q332" s="874"/>
      <c r="R332" s="874"/>
      <c r="S332" s="874"/>
    </row>
    <row r="333" spans="1:19">
      <c r="A333" s="857"/>
      <c r="B333" s="857" t="s">
        <v>714</v>
      </c>
      <c r="C333" s="873" t="s">
        <v>1530</v>
      </c>
      <c r="D333" s="861" t="s">
        <v>1410</v>
      </c>
      <c r="E333" s="861"/>
      <c r="F333" s="861"/>
      <c r="G333" s="861"/>
      <c r="H333" s="874"/>
      <c r="I333" s="874"/>
      <c r="J333" s="874"/>
      <c r="K333" s="874"/>
      <c r="L333" s="874"/>
      <c r="M333" s="874"/>
      <c r="N333" s="874"/>
      <c r="O333" s="874"/>
      <c r="P333" s="874"/>
      <c r="Q333" s="874"/>
      <c r="R333" s="874"/>
      <c r="S333" s="874"/>
    </row>
    <row r="334" spans="1:19">
      <c r="A334" s="857"/>
      <c r="B334" s="857" t="s">
        <v>604</v>
      </c>
      <c r="C334" s="873" t="s">
        <v>1531</v>
      </c>
      <c r="D334" s="861" t="s">
        <v>1411</v>
      </c>
      <c r="E334" s="861"/>
      <c r="F334" s="861"/>
      <c r="G334" s="861"/>
      <c r="H334" s="874"/>
      <c r="I334" s="874"/>
      <c r="J334" s="874"/>
      <c r="K334" s="874"/>
      <c r="L334" s="874"/>
      <c r="M334" s="874"/>
      <c r="N334" s="874"/>
      <c r="O334" s="874"/>
      <c r="P334" s="874"/>
      <c r="Q334" s="874"/>
      <c r="R334" s="874"/>
      <c r="S334" s="874"/>
    </row>
    <row r="335" spans="1:19">
      <c r="A335" s="857"/>
      <c r="B335" s="857" t="s">
        <v>604</v>
      </c>
      <c r="C335" s="873" t="s">
        <v>1532</v>
      </c>
      <c r="D335" s="861" t="s">
        <v>1412</v>
      </c>
      <c r="E335" s="861"/>
      <c r="F335" s="861"/>
      <c r="G335" s="861"/>
      <c r="H335" s="874"/>
      <c r="I335" s="874"/>
      <c r="J335" s="874"/>
      <c r="K335" s="874"/>
      <c r="L335" s="874"/>
      <c r="M335" s="874"/>
      <c r="N335" s="874"/>
      <c r="O335" s="874"/>
      <c r="P335" s="874"/>
      <c r="Q335" s="874"/>
      <c r="R335" s="874"/>
      <c r="S335" s="874"/>
    </row>
    <row r="336" spans="1:19">
      <c r="A336" s="857"/>
      <c r="B336" s="857" t="s">
        <v>715</v>
      </c>
      <c r="C336" s="873" t="s">
        <v>1533</v>
      </c>
      <c r="D336" s="861" t="s">
        <v>1413</v>
      </c>
      <c r="E336" s="861"/>
      <c r="F336" s="861"/>
      <c r="G336" s="861"/>
      <c r="H336" s="874"/>
      <c r="I336" s="874"/>
      <c r="J336" s="874"/>
      <c r="K336" s="874"/>
      <c r="L336" s="874"/>
      <c r="M336" s="874"/>
      <c r="N336" s="874"/>
      <c r="O336" s="874"/>
      <c r="P336" s="874"/>
      <c r="Q336" s="874"/>
      <c r="R336" s="874"/>
      <c r="S336" s="874"/>
    </row>
    <row r="337" spans="1:23">
      <c r="A337" s="857"/>
      <c r="B337" s="857" t="s">
        <v>606</v>
      </c>
      <c r="C337" s="873" t="s">
        <v>1534</v>
      </c>
      <c r="D337" s="861" t="s">
        <v>1414</v>
      </c>
      <c r="E337" s="861"/>
      <c r="F337" s="861"/>
      <c r="G337" s="861"/>
      <c r="H337" s="874"/>
      <c r="I337" s="874"/>
      <c r="J337" s="874"/>
      <c r="K337" s="874"/>
      <c r="L337" s="874"/>
      <c r="M337" s="874"/>
      <c r="N337" s="874"/>
      <c r="O337" s="874"/>
      <c r="P337" s="874"/>
      <c r="Q337" s="874"/>
      <c r="R337" s="874"/>
      <c r="S337" s="874"/>
    </row>
    <row r="338" spans="1:23">
      <c r="A338" s="857"/>
      <c r="B338" s="857" t="s">
        <v>606</v>
      </c>
      <c r="C338" s="873" t="s">
        <v>1536</v>
      </c>
      <c r="D338" s="861" t="s">
        <v>1416</v>
      </c>
      <c r="E338" s="861"/>
      <c r="F338" s="861"/>
      <c r="G338" s="861"/>
      <c r="H338" s="874"/>
      <c r="I338" s="874"/>
      <c r="J338" s="874"/>
      <c r="K338" s="874"/>
      <c r="L338" s="874"/>
      <c r="M338" s="874"/>
      <c r="N338" s="874"/>
      <c r="O338" s="874"/>
      <c r="P338" s="874"/>
      <c r="Q338" s="874"/>
      <c r="R338" s="874"/>
      <c r="S338" s="874"/>
    </row>
    <row r="339" spans="1:23">
      <c r="A339" s="857"/>
      <c r="B339" s="857" t="s">
        <v>606</v>
      </c>
      <c r="C339" s="873" t="s">
        <v>1538</v>
      </c>
      <c r="D339" s="861" t="s">
        <v>1418</v>
      </c>
      <c r="E339" s="861"/>
      <c r="F339" s="861"/>
      <c r="G339" s="861"/>
      <c r="H339" s="874"/>
      <c r="I339" s="874"/>
      <c r="J339" s="874"/>
      <c r="K339" s="874"/>
      <c r="L339" s="874"/>
      <c r="M339" s="874"/>
      <c r="N339" s="874"/>
      <c r="O339" s="874"/>
      <c r="P339" s="874"/>
      <c r="Q339" s="874"/>
      <c r="R339" s="874"/>
      <c r="S339" s="874"/>
    </row>
    <row r="340" spans="1:23">
      <c r="A340" s="857"/>
      <c r="B340" s="857" t="s">
        <v>606</v>
      </c>
      <c r="C340" s="873" t="s">
        <v>1539</v>
      </c>
      <c r="D340" s="861" t="s">
        <v>1419</v>
      </c>
      <c r="E340" s="861"/>
      <c r="F340" s="861"/>
      <c r="G340" s="861"/>
      <c r="H340" s="874"/>
      <c r="I340" s="874"/>
      <c r="J340" s="874"/>
      <c r="K340" s="874"/>
      <c r="L340" s="874"/>
      <c r="M340" s="874"/>
      <c r="N340" s="874"/>
      <c r="O340" s="874"/>
      <c r="P340" s="874"/>
      <c r="Q340" s="874"/>
      <c r="R340" s="874"/>
      <c r="S340" s="874"/>
    </row>
    <row r="341" spans="1:23">
      <c r="A341" s="857"/>
      <c r="B341" s="857" t="s">
        <v>1802</v>
      </c>
      <c r="C341" s="873" t="s">
        <v>1301</v>
      </c>
      <c r="D341" s="861" t="s">
        <v>1422</v>
      </c>
      <c r="E341" s="861"/>
      <c r="F341" s="861"/>
      <c r="G341" s="861"/>
      <c r="H341" s="874"/>
      <c r="I341" s="874"/>
      <c r="J341" s="874"/>
      <c r="K341" s="874"/>
      <c r="L341" s="874"/>
      <c r="M341" s="874"/>
      <c r="N341" s="874"/>
      <c r="O341" s="874"/>
      <c r="P341" s="874"/>
      <c r="Q341" s="874"/>
      <c r="R341" s="874"/>
      <c r="S341" s="874"/>
    </row>
    <row r="342" spans="1:23">
      <c r="A342" s="857" t="s">
        <v>1803</v>
      </c>
      <c r="B342" s="857"/>
      <c r="C342" s="863" t="s">
        <v>814</v>
      </c>
      <c r="D342" s="858">
        <v>999999</v>
      </c>
      <c r="E342" s="861"/>
      <c r="F342" s="861"/>
      <c r="G342" s="861"/>
      <c r="H342" s="874"/>
      <c r="I342" s="874"/>
      <c r="J342" s="874"/>
      <c r="K342" s="874"/>
      <c r="L342" s="874"/>
      <c r="M342" s="874"/>
      <c r="N342" s="874"/>
      <c r="O342" s="874"/>
      <c r="P342" s="874"/>
      <c r="Q342" s="874"/>
      <c r="R342" s="874"/>
      <c r="S342" s="874"/>
    </row>
    <row r="343" spans="1:23">
      <c r="A343" s="857"/>
      <c r="B343" s="857"/>
      <c r="C343" s="857"/>
      <c r="D343" s="861"/>
      <c r="E343" s="861"/>
      <c r="F343" s="861"/>
      <c r="G343" s="861"/>
      <c r="H343" s="874"/>
      <c r="I343" s="874"/>
      <c r="J343" s="874"/>
      <c r="K343" s="874"/>
      <c r="L343" s="874"/>
      <c r="M343" s="874"/>
      <c r="N343" s="874"/>
      <c r="O343" s="874"/>
      <c r="P343" s="874"/>
      <c r="Q343" s="874"/>
      <c r="R343" s="874"/>
      <c r="S343" s="874"/>
    </row>
    <row r="344" spans="1:23">
      <c r="A344" s="868" t="s">
        <v>1643</v>
      </c>
      <c r="B344" s="866"/>
      <c r="C344" s="866"/>
      <c r="D344" s="874"/>
      <c r="E344" s="874"/>
      <c r="F344" s="874"/>
      <c r="G344" s="874"/>
      <c r="H344" s="874"/>
      <c r="I344" s="874"/>
      <c r="J344" s="874"/>
      <c r="K344" s="874"/>
      <c r="L344" s="874"/>
      <c r="M344" s="874"/>
      <c r="N344" s="874"/>
      <c r="O344" s="874"/>
      <c r="P344" s="874"/>
      <c r="Q344" s="874"/>
      <c r="R344" s="874"/>
      <c r="S344" s="874"/>
    </row>
    <row r="345" spans="1:23">
      <c r="A345" s="857" t="s">
        <v>2275</v>
      </c>
      <c r="B345" s="857" t="s">
        <v>2284</v>
      </c>
      <c r="C345" s="857" t="s">
        <v>2276</v>
      </c>
      <c r="D345" s="857" t="s">
        <v>2277</v>
      </c>
      <c r="E345" s="857" t="s">
        <v>2278</v>
      </c>
      <c r="F345" s="857" t="s">
        <v>2279</v>
      </c>
      <c r="G345" s="857"/>
      <c r="H345" s="874"/>
      <c r="I345" s="874"/>
      <c r="J345" s="874"/>
      <c r="K345" s="874"/>
      <c r="L345" s="874"/>
      <c r="M345" s="874"/>
      <c r="N345" s="874"/>
      <c r="O345" s="874"/>
      <c r="P345" s="874"/>
      <c r="Q345" s="874"/>
      <c r="R345" s="874"/>
      <c r="S345" s="874"/>
      <c r="T345" s="874"/>
      <c r="U345" s="874"/>
      <c r="V345" s="874"/>
      <c r="W345" s="874"/>
    </row>
    <row r="346" spans="1:23">
      <c r="A346" s="857" t="s">
        <v>2285</v>
      </c>
      <c r="B346" s="857" t="s">
        <v>2282</v>
      </c>
      <c r="C346" s="857" t="s">
        <v>2282</v>
      </c>
      <c r="D346" s="857" t="s">
        <v>2283</v>
      </c>
      <c r="E346" s="857" t="s">
        <v>2281</v>
      </c>
      <c r="F346" s="857" t="s">
        <v>2280</v>
      </c>
      <c r="G346" s="857"/>
      <c r="H346" s="874"/>
      <c r="I346" s="874"/>
      <c r="J346" s="874"/>
      <c r="K346" s="874"/>
      <c r="L346" s="874"/>
      <c r="M346" s="874"/>
      <c r="N346" s="874"/>
      <c r="O346" s="874"/>
      <c r="P346" s="874"/>
      <c r="Q346" s="874"/>
      <c r="R346" s="874"/>
      <c r="S346" s="874"/>
      <c r="T346" s="874"/>
      <c r="U346" s="874"/>
      <c r="V346" s="874"/>
      <c r="W346" s="874"/>
    </row>
    <row r="347" spans="1:23">
      <c r="A347" s="857" t="s">
        <v>1811</v>
      </c>
      <c r="B347" s="857" t="s">
        <v>1811</v>
      </c>
      <c r="C347" s="857" t="s">
        <v>1811</v>
      </c>
      <c r="D347" s="857" t="s">
        <v>1811</v>
      </c>
      <c r="E347" s="857" t="s">
        <v>1811</v>
      </c>
      <c r="F347" s="857" t="s">
        <v>1645</v>
      </c>
      <c r="G347" s="857"/>
      <c r="H347" s="874"/>
      <c r="I347" s="874"/>
      <c r="J347" s="874"/>
      <c r="K347" s="874"/>
      <c r="L347" s="874"/>
      <c r="M347" s="874"/>
      <c r="N347" s="874"/>
      <c r="O347" s="874"/>
      <c r="P347" s="874"/>
      <c r="Q347" s="874"/>
      <c r="R347" s="874"/>
      <c r="S347" s="874"/>
      <c r="T347" s="874"/>
      <c r="U347" s="874"/>
      <c r="V347" s="874"/>
      <c r="W347" s="874"/>
    </row>
    <row r="348" spans="1:23">
      <c r="A348" s="857" t="s">
        <v>1812</v>
      </c>
      <c r="B348" s="857" t="s">
        <v>1812</v>
      </c>
      <c r="C348" s="857" t="s">
        <v>1812</v>
      </c>
      <c r="D348" s="857" t="s">
        <v>1812</v>
      </c>
      <c r="E348" s="857" t="s">
        <v>1812</v>
      </c>
      <c r="F348" s="857" t="s">
        <v>1646</v>
      </c>
      <c r="G348" s="857"/>
      <c r="H348" s="874"/>
      <c r="I348" s="874"/>
      <c r="J348" s="874"/>
      <c r="K348" s="874"/>
      <c r="L348" s="874"/>
      <c r="M348" s="874"/>
      <c r="N348" s="874"/>
      <c r="O348" s="874"/>
      <c r="P348" s="874"/>
      <c r="Q348" s="874"/>
      <c r="R348" s="874"/>
      <c r="S348" s="874"/>
      <c r="T348" s="874"/>
      <c r="U348" s="874"/>
      <c r="V348" s="874"/>
      <c r="W348" s="874"/>
    </row>
    <row r="349" spans="1:23">
      <c r="A349" s="857" t="s">
        <v>2286</v>
      </c>
      <c r="B349" s="857" t="s">
        <v>1813</v>
      </c>
      <c r="C349" s="857" t="s">
        <v>1813</v>
      </c>
      <c r="D349" s="857" t="s">
        <v>1813</v>
      </c>
      <c r="E349" s="857" t="s">
        <v>1813</v>
      </c>
      <c r="F349" s="857" t="s">
        <v>1814</v>
      </c>
      <c r="G349" s="857"/>
      <c r="H349" s="874"/>
      <c r="I349" s="874"/>
      <c r="J349" s="874"/>
      <c r="K349" s="874"/>
      <c r="L349" s="874"/>
      <c r="M349" s="874"/>
      <c r="N349" s="874"/>
      <c r="O349" s="874"/>
      <c r="P349" s="874"/>
      <c r="Q349" s="874"/>
      <c r="R349" s="874"/>
      <c r="S349" s="874"/>
      <c r="T349" s="874"/>
      <c r="U349" s="874"/>
      <c r="V349" s="874"/>
      <c r="W349" s="874"/>
    </row>
    <row r="350" spans="1:23">
      <c r="A350" s="857" t="s">
        <v>2287</v>
      </c>
      <c r="B350" s="857" t="s">
        <v>1815</v>
      </c>
      <c r="C350" s="857" t="s">
        <v>1815</v>
      </c>
      <c r="D350" s="857" t="s">
        <v>1815</v>
      </c>
      <c r="E350" s="857" t="s">
        <v>1815</v>
      </c>
      <c r="F350" s="857" t="s">
        <v>1896</v>
      </c>
      <c r="G350" s="857"/>
      <c r="H350" s="874"/>
      <c r="I350" s="874"/>
      <c r="J350" s="874"/>
      <c r="K350" s="874"/>
      <c r="L350" s="874"/>
      <c r="M350" s="874"/>
      <c r="N350" s="874"/>
      <c r="O350" s="874"/>
      <c r="P350" s="874"/>
      <c r="Q350" s="874"/>
      <c r="R350" s="874"/>
      <c r="S350" s="874"/>
      <c r="T350" s="874"/>
      <c r="U350" s="874"/>
      <c r="V350" s="874"/>
      <c r="W350" s="874"/>
    </row>
    <row r="351" spans="1:23">
      <c r="A351" s="857" t="s">
        <v>2296</v>
      </c>
      <c r="B351" s="857" t="s">
        <v>1816</v>
      </c>
      <c r="C351" s="857" t="s">
        <v>1816</v>
      </c>
      <c r="D351" s="857" t="s">
        <v>1816</v>
      </c>
      <c r="E351" s="857" t="s">
        <v>1816</v>
      </c>
      <c r="F351" s="857" t="s">
        <v>1897</v>
      </c>
      <c r="G351" s="857"/>
      <c r="H351" s="874"/>
      <c r="I351" s="874"/>
      <c r="J351" s="874"/>
      <c r="K351" s="874"/>
      <c r="L351" s="874"/>
      <c r="M351" s="874"/>
      <c r="N351" s="874"/>
      <c r="O351" s="874"/>
      <c r="P351" s="874"/>
      <c r="Q351" s="874"/>
      <c r="R351" s="874"/>
      <c r="S351" s="874"/>
      <c r="T351" s="874"/>
      <c r="U351" s="874"/>
      <c r="V351" s="874"/>
      <c r="W351" s="874"/>
    </row>
    <row r="352" spans="1:23">
      <c r="A352" s="857" t="s">
        <v>2289</v>
      </c>
      <c r="B352" s="857" t="s">
        <v>1817</v>
      </c>
      <c r="C352" s="857" t="s">
        <v>1817</v>
      </c>
      <c r="D352" s="857" t="s">
        <v>1817</v>
      </c>
      <c r="E352" s="857" t="s">
        <v>1817</v>
      </c>
      <c r="F352" s="857" t="s">
        <v>1898</v>
      </c>
      <c r="G352" s="857"/>
      <c r="H352" s="874"/>
      <c r="I352" s="874"/>
      <c r="J352" s="874"/>
      <c r="K352" s="874"/>
      <c r="L352" s="874"/>
      <c r="M352" s="874"/>
      <c r="N352" s="874"/>
      <c r="O352" s="874"/>
      <c r="P352" s="874"/>
      <c r="Q352" s="874"/>
      <c r="R352" s="874"/>
      <c r="S352" s="874"/>
      <c r="T352" s="874"/>
      <c r="U352" s="874"/>
      <c r="V352" s="874"/>
      <c r="W352" s="874"/>
    </row>
    <row r="353" spans="1:23">
      <c r="A353" s="857" t="s">
        <v>2290</v>
      </c>
      <c r="B353" s="857" t="s">
        <v>1794</v>
      </c>
      <c r="C353" s="857" t="s">
        <v>1794</v>
      </c>
      <c r="D353" s="857" t="s">
        <v>1794</v>
      </c>
      <c r="E353" s="857" t="s">
        <v>1794</v>
      </c>
      <c r="F353" s="857" t="s">
        <v>1899</v>
      </c>
      <c r="G353" s="857"/>
      <c r="H353" s="874"/>
      <c r="I353" s="874"/>
      <c r="J353" s="874"/>
      <c r="K353" s="874"/>
      <c r="L353" s="874"/>
      <c r="M353" s="874"/>
      <c r="N353" s="874"/>
      <c r="O353" s="874"/>
      <c r="P353" s="874"/>
      <c r="Q353" s="874"/>
      <c r="R353" s="874"/>
      <c r="S353" s="874"/>
      <c r="T353" s="874"/>
      <c r="U353" s="874"/>
      <c r="V353" s="874"/>
      <c r="W353" s="874"/>
    </row>
    <row r="354" spans="1:23">
      <c r="A354" s="857" t="s">
        <v>2291</v>
      </c>
      <c r="B354" s="857" t="s">
        <v>1895</v>
      </c>
      <c r="C354" s="857" t="s">
        <v>1895</v>
      </c>
      <c r="D354" s="857" t="s">
        <v>1895</v>
      </c>
      <c r="E354" s="857" t="s">
        <v>1895</v>
      </c>
      <c r="F354" s="857"/>
      <c r="G354" s="857"/>
      <c r="H354" s="874"/>
      <c r="I354" s="874"/>
      <c r="J354" s="874"/>
      <c r="K354" s="874"/>
      <c r="L354" s="874"/>
      <c r="M354" s="874"/>
      <c r="N354" s="874"/>
      <c r="O354" s="874"/>
      <c r="P354" s="874"/>
      <c r="Q354" s="874"/>
      <c r="R354" s="874"/>
      <c r="S354" s="874"/>
      <c r="T354" s="874"/>
      <c r="U354" s="874"/>
      <c r="V354" s="874"/>
      <c r="W354" s="874"/>
    </row>
    <row r="355" spans="1:23">
      <c r="A355" s="857" t="s">
        <v>2292</v>
      </c>
      <c r="B355" s="857"/>
      <c r="C355" s="857"/>
      <c r="D355" s="857"/>
      <c r="E355" s="857"/>
      <c r="F355" s="857"/>
      <c r="G355" s="857"/>
      <c r="H355" s="874"/>
      <c r="I355" s="874"/>
      <c r="J355" s="874"/>
      <c r="K355" s="874"/>
      <c r="L355" s="874"/>
      <c r="M355" s="874"/>
      <c r="N355" s="874"/>
      <c r="O355" s="874"/>
      <c r="P355" s="874"/>
      <c r="Q355" s="874"/>
      <c r="R355" s="874"/>
      <c r="S355" s="874"/>
      <c r="T355" s="874"/>
      <c r="U355" s="874"/>
      <c r="V355" s="874"/>
      <c r="W355" s="874"/>
    </row>
    <row r="356" spans="1:23">
      <c r="A356" s="857" t="s">
        <v>2294</v>
      </c>
      <c r="B356" s="857"/>
      <c r="C356" s="857"/>
      <c r="D356" s="857"/>
      <c r="E356" s="857"/>
      <c r="F356" s="857"/>
      <c r="G356" s="857"/>
      <c r="H356" s="874"/>
      <c r="I356" s="874"/>
      <c r="J356" s="874"/>
      <c r="K356" s="874"/>
      <c r="L356" s="874"/>
      <c r="M356" s="874"/>
      <c r="N356" s="874"/>
      <c r="O356" s="874"/>
      <c r="P356" s="874"/>
      <c r="Q356" s="874"/>
      <c r="R356" s="874"/>
      <c r="S356" s="874"/>
      <c r="T356" s="874"/>
      <c r="U356" s="874"/>
      <c r="V356" s="874"/>
      <c r="W356" s="874"/>
    </row>
    <row r="357" spans="1:23">
      <c r="A357" s="857" t="s">
        <v>2295</v>
      </c>
      <c r="B357" s="857"/>
      <c r="C357" s="857"/>
      <c r="D357" s="857"/>
      <c r="E357" s="857"/>
      <c r="F357" s="857"/>
      <c r="G357" s="857"/>
      <c r="H357" s="874"/>
      <c r="I357" s="874"/>
      <c r="J357" s="874"/>
      <c r="K357" s="874"/>
      <c r="L357" s="874"/>
      <c r="M357" s="874"/>
      <c r="N357" s="874"/>
      <c r="O357" s="874"/>
      <c r="P357" s="874"/>
      <c r="Q357" s="874"/>
      <c r="R357" s="874"/>
      <c r="S357" s="874"/>
      <c r="T357" s="874"/>
      <c r="U357" s="874"/>
      <c r="V357" s="874"/>
      <c r="W357" s="874"/>
    </row>
    <row r="358" spans="1:23">
      <c r="A358" s="857"/>
      <c r="B358" s="857"/>
      <c r="C358" s="857"/>
      <c r="D358" s="857"/>
      <c r="E358" s="857"/>
      <c r="F358" s="857"/>
      <c r="G358" s="857"/>
      <c r="H358" s="874"/>
      <c r="I358" s="874"/>
      <c r="J358" s="874"/>
      <c r="K358" s="874"/>
      <c r="L358" s="874"/>
      <c r="M358" s="874"/>
      <c r="N358" s="874"/>
      <c r="O358" s="874"/>
      <c r="P358" s="874"/>
      <c r="Q358" s="874"/>
      <c r="R358" s="874"/>
      <c r="S358" s="874"/>
      <c r="T358" s="874"/>
      <c r="U358" s="874"/>
      <c r="V358" s="874"/>
      <c r="W358" s="874"/>
    </row>
    <row r="359" spans="1:23">
      <c r="A359" s="857"/>
      <c r="B359" s="857"/>
      <c r="C359" s="857"/>
      <c r="D359" s="857"/>
      <c r="E359" s="857"/>
      <c r="F359" s="857"/>
      <c r="G359" s="857"/>
      <c r="H359" s="874"/>
      <c r="I359" s="874"/>
      <c r="J359" s="874"/>
      <c r="K359" s="874"/>
      <c r="L359" s="874"/>
      <c r="M359" s="874"/>
      <c r="N359" s="874"/>
      <c r="O359" s="874"/>
      <c r="P359" s="874"/>
      <c r="Q359" s="874"/>
      <c r="R359" s="874"/>
      <c r="S359" s="874"/>
      <c r="T359" s="874"/>
      <c r="U359" s="874"/>
      <c r="V359" s="874"/>
      <c r="W359" s="874"/>
    </row>
    <row r="360" spans="1:23">
      <c r="A360" s="857"/>
      <c r="B360" s="857"/>
      <c r="C360" s="857"/>
      <c r="D360" s="857"/>
      <c r="E360" s="857"/>
      <c r="F360" s="857"/>
      <c r="G360" s="857"/>
      <c r="H360" s="874"/>
      <c r="I360" s="874"/>
      <c r="J360" s="874"/>
      <c r="K360" s="874"/>
      <c r="L360" s="874"/>
      <c r="M360" s="874"/>
      <c r="N360" s="874"/>
      <c r="O360" s="874"/>
      <c r="P360" s="874"/>
      <c r="Q360" s="874"/>
      <c r="R360" s="874"/>
      <c r="S360" s="874"/>
      <c r="T360" s="874"/>
      <c r="U360" s="874"/>
      <c r="V360" s="874"/>
      <c r="W360" s="874"/>
    </row>
    <row r="361" spans="1:23">
      <c r="A361" s="857"/>
      <c r="B361" s="857"/>
      <c r="C361" s="857"/>
      <c r="D361" s="857"/>
      <c r="E361" s="874"/>
      <c r="F361" s="874"/>
      <c r="G361" s="874"/>
      <c r="H361" s="874"/>
      <c r="I361" s="874"/>
      <c r="J361" s="874"/>
      <c r="K361" s="874"/>
      <c r="L361" s="874"/>
      <c r="M361" s="874"/>
      <c r="N361" s="874"/>
      <c r="O361" s="874"/>
      <c r="P361" s="874"/>
      <c r="Q361" s="874"/>
      <c r="R361" s="874"/>
      <c r="S361" s="874"/>
      <c r="T361" s="874"/>
    </row>
    <row r="362" spans="1:23">
      <c r="A362" s="868" t="s">
        <v>1644</v>
      </c>
      <c r="B362" s="866"/>
      <c r="C362" s="866"/>
      <c r="D362" s="874"/>
      <c r="E362" s="874"/>
      <c r="F362" s="874"/>
      <c r="G362" s="874"/>
      <c r="H362" s="874"/>
      <c r="I362" s="874"/>
      <c r="J362" s="874"/>
      <c r="K362" s="874"/>
      <c r="L362" s="874"/>
      <c r="M362" s="874"/>
      <c r="N362" s="874"/>
      <c r="O362" s="874"/>
      <c r="P362" s="874"/>
      <c r="Q362" s="874"/>
      <c r="R362" s="874"/>
      <c r="S362" s="874"/>
    </row>
    <row r="363" spans="1:23">
      <c r="A363" s="857" t="s">
        <v>2150</v>
      </c>
      <c r="B363" s="857" t="s">
        <v>2149</v>
      </c>
      <c r="C363" s="857" t="s">
        <v>2151</v>
      </c>
      <c r="D363" s="857" t="s">
        <v>2152</v>
      </c>
      <c r="E363" s="857"/>
      <c r="F363" s="874"/>
      <c r="G363" s="874"/>
      <c r="H363" s="874"/>
      <c r="I363" s="874"/>
      <c r="J363" s="874"/>
      <c r="K363" s="874"/>
      <c r="L363" s="874"/>
      <c r="M363" s="874"/>
      <c r="N363" s="874"/>
      <c r="O363" s="874"/>
      <c r="P363" s="874"/>
      <c r="Q363" s="874"/>
      <c r="R363" s="874"/>
      <c r="S363" s="874"/>
      <c r="T363" s="874"/>
      <c r="U363" s="874"/>
    </row>
    <row r="364" spans="1:23">
      <c r="A364" s="857" t="s">
        <v>1818</v>
      </c>
      <c r="B364" s="857" t="s">
        <v>1818</v>
      </c>
      <c r="C364" s="857" t="s">
        <v>1818</v>
      </c>
      <c r="D364" s="857" t="s">
        <v>1788</v>
      </c>
      <c r="E364" s="857"/>
      <c r="F364" s="874"/>
      <c r="G364" s="874"/>
      <c r="H364" s="874"/>
      <c r="I364" s="874"/>
      <c r="J364" s="874"/>
      <c r="K364" s="874"/>
      <c r="L364" s="874"/>
      <c r="M364" s="874"/>
      <c r="N364" s="874"/>
      <c r="O364" s="874"/>
      <c r="P364" s="874"/>
      <c r="Q364" s="874"/>
      <c r="R364" s="874"/>
      <c r="S364" s="874"/>
      <c r="T364" s="874"/>
      <c r="U364" s="874"/>
    </row>
    <row r="365" spans="1:23">
      <c r="A365" s="857" t="s">
        <v>1915</v>
      </c>
      <c r="B365" s="857" t="s">
        <v>1915</v>
      </c>
      <c r="C365" s="857" t="s">
        <v>1915</v>
      </c>
      <c r="D365" s="857" t="s">
        <v>1789</v>
      </c>
      <c r="E365" s="857"/>
      <c r="F365" s="874"/>
      <c r="G365" s="874"/>
      <c r="H365" s="874"/>
      <c r="I365" s="874"/>
      <c r="J365" s="874"/>
      <c r="K365" s="874"/>
      <c r="L365" s="874"/>
      <c r="M365" s="874"/>
      <c r="N365" s="874"/>
      <c r="O365" s="874"/>
      <c r="P365" s="874"/>
      <c r="Q365" s="874"/>
      <c r="R365" s="874"/>
      <c r="S365" s="874"/>
      <c r="T365" s="874"/>
      <c r="U365" s="874"/>
    </row>
    <row r="366" spans="1:23">
      <c r="A366" s="857" t="s">
        <v>1819</v>
      </c>
      <c r="B366" s="857" t="s">
        <v>1819</v>
      </c>
      <c r="C366" s="857" t="s">
        <v>1819</v>
      </c>
      <c r="D366" s="857" t="s">
        <v>1820</v>
      </c>
      <c r="E366" s="857"/>
      <c r="F366" s="874"/>
      <c r="G366" s="874"/>
      <c r="H366" s="874"/>
      <c r="I366" s="874"/>
      <c r="J366" s="874"/>
      <c r="K366" s="874"/>
      <c r="L366" s="874"/>
      <c r="M366" s="874"/>
      <c r="N366" s="874"/>
      <c r="O366" s="874"/>
      <c r="P366" s="874"/>
      <c r="Q366" s="874"/>
      <c r="R366" s="874"/>
      <c r="S366" s="874"/>
      <c r="T366" s="874"/>
      <c r="U366" s="874"/>
    </row>
    <row r="367" spans="1:23">
      <c r="A367" s="857" t="s">
        <v>1821</v>
      </c>
      <c r="B367" s="857" t="s">
        <v>1821</v>
      </c>
      <c r="C367" s="857" t="s">
        <v>1821</v>
      </c>
      <c r="D367" s="857" t="s">
        <v>1900</v>
      </c>
      <c r="E367" s="857"/>
      <c r="F367" s="874"/>
      <c r="G367" s="874"/>
      <c r="H367" s="874"/>
      <c r="I367" s="874"/>
      <c r="J367" s="874"/>
      <c r="K367" s="874"/>
      <c r="L367" s="874"/>
      <c r="M367" s="874"/>
      <c r="N367" s="874"/>
      <c r="O367" s="874"/>
      <c r="P367" s="874"/>
      <c r="Q367" s="874"/>
      <c r="R367" s="874"/>
      <c r="S367" s="874"/>
      <c r="T367" s="874"/>
      <c r="U367" s="874"/>
    </row>
    <row r="368" spans="1:23">
      <c r="A368" s="857" t="s">
        <v>1822</v>
      </c>
      <c r="B368" s="857" t="s">
        <v>1822</v>
      </c>
      <c r="C368" s="857" t="s">
        <v>1822</v>
      </c>
      <c r="D368" s="857" t="s">
        <v>1901</v>
      </c>
      <c r="E368" s="857"/>
      <c r="F368" s="874"/>
      <c r="G368" s="874"/>
      <c r="H368" s="874"/>
      <c r="I368" s="874"/>
      <c r="J368" s="874"/>
      <c r="K368" s="874"/>
      <c r="L368" s="874"/>
      <c r="M368" s="874"/>
      <c r="N368" s="874"/>
      <c r="O368" s="874"/>
      <c r="P368" s="874"/>
      <c r="Q368" s="874"/>
      <c r="R368" s="874"/>
      <c r="S368" s="874"/>
      <c r="T368" s="874"/>
      <c r="U368" s="874"/>
    </row>
    <row r="369" spans="1:21">
      <c r="A369" s="857" t="s">
        <v>1823</v>
      </c>
      <c r="B369" s="857" t="s">
        <v>1823</v>
      </c>
      <c r="C369" s="857" t="s">
        <v>1823</v>
      </c>
      <c r="D369" s="857" t="s">
        <v>1902</v>
      </c>
      <c r="E369" s="857"/>
      <c r="F369" s="874"/>
      <c r="G369" s="874"/>
      <c r="H369" s="874"/>
      <c r="I369" s="874"/>
      <c r="J369" s="874"/>
      <c r="K369" s="874"/>
      <c r="L369" s="874"/>
      <c r="M369" s="874"/>
      <c r="N369" s="874"/>
      <c r="O369" s="874"/>
      <c r="P369" s="874"/>
      <c r="Q369" s="874"/>
      <c r="R369" s="874"/>
      <c r="S369" s="874"/>
      <c r="T369" s="874"/>
      <c r="U369" s="874"/>
    </row>
    <row r="370" spans="1:21">
      <c r="A370" s="857" t="s">
        <v>1824</v>
      </c>
      <c r="B370" s="857" t="s">
        <v>1824</v>
      </c>
      <c r="C370" s="857" t="s">
        <v>1824</v>
      </c>
      <c r="D370" s="857" t="s">
        <v>1899</v>
      </c>
      <c r="E370" s="857"/>
      <c r="F370" s="874"/>
      <c r="G370" s="874"/>
      <c r="H370" s="874"/>
      <c r="I370" s="874"/>
      <c r="J370" s="874"/>
      <c r="K370" s="874"/>
      <c r="L370" s="874"/>
      <c r="M370" s="874"/>
      <c r="N370" s="874"/>
      <c r="O370" s="874"/>
      <c r="P370" s="874"/>
      <c r="Q370" s="874"/>
      <c r="R370" s="874"/>
      <c r="S370" s="874"/>
      <c r="T370" s="874"/>
      <c r="U370" s="874"/>
    </row>
    <row r="371" spans="1:21">
      <c r="A371" s="857" t="s">
        <v>1895</v>
      </c>
      <c r="B371" s="857" t="s">
        <v>1895</v>
      </c>
      <c r="C371" s="857" t="s">
        <v>1895</v>
      </c>
      <c r="D371" s="1491"/>
      <c r="E371" s="857"/>
      <c r="F371" s="874"/>
      <c r="G371" s="874"/>
      <c r="H371" s="874"/>
      <c r="I371" s="874"/>
      <c r="J371" s="874"/>
      <c r="K371" s="874"/>
      <c r="L371" s="874"/>
      <c r="M371" s="874"/>
      <c r="N371" s="874"/>
      <c r="O371" s="874"/>
      <c r="P371" s="874"/>
      <c r="Q371" s="874"/>
      <c r="R371" s="874"/>
      <c r="S371" s="874"/>
      <c r="T371" s="874"/>
      <c r="U371" s="874"/>
    </row>
    <row r="372" spans="1:21">
      <c r="A372" s="857"/>
      <c r="B372" s="857"/>
      <c r="C372" s="857"/>
      <c r="D372" s="857"/>
      <c r="E372" s="874"/>
      <c r="F372" s="874"/>
      <c r="G372" s="874"/>
      <c r="H372" s="874"/>
      <c r="I372" s="874"/>
      <c r="J372" s="874"/>
      <c r="K372" s="874"/>
      <c r="L372" s="874"/>
      <c r="M372" s="874"/>
      <c r="N372" s="874"/>
      <c r="O372" s="874"/>
      <c r="P372" s="874"/>
      <c r="Q372" s="874"/>
      <c r="R372" s="874"/>
      <c r="S372" s="874"/>
      <c r="T372" s="874"/>
    </row>
    <row r="373" spans="1:21">
      <c r="A373" s="868" t="s">
        <v>1842</v>
      </c>
      <c r="B373" s="866"/>
      <c r="C373" s="866"/>
      <c r="D373" s="874"/>
      <c r="E373" s="874"/>
      <c r="F373" s="874"/>
      <c r="G373" s="874"/>
      <c r="H373" s="874"/>
      <c r="I373" s="874"/>
      <c r="J373" s="874"/>
      <c r="K373" s="874"/>
      <c r="L373" s="874"/>
      <c r="M373" s="874"/>
      <c r="N373" s="874"/>
      <c r="O373" s="874"/>
      <c r="P373" s="874"/>
      <c r="Q373" s="874"/>
      <c r="R373" s="874"/>
      <c r="S373" s="874"/>
    </row>
    <row r="374" spans="1:21">
      <c r="A374" s="857"/>
      <c r="B374" s="857" t="s">
        <v>1809</v>
      </c>
      <c r="C374" s="857" t="s">
        <v>1810</v>
      </c>
      <c r="D374" s="874"/>
      <c r="E374" s="874"/>
      <c r="F374" s="874"/>
      <c r="G374" s="874"/>
      <c r="H374" s="874"/>
      <c r="I374" s="874"/>
      <c r="J374" s="874"/>
      <c r="K374" s="874"/>
      <c r="L374" s="874"/>
      <c r="M374" s="874"/>
      <c r="N374" s="874"/>
      <c r="O374" s="874"/>
      <c r="P374" s="874"/>
      <c r="Q374" s="874"/>
      <c r="R374" s="874"/>
      <c r="S374" s="874"/>
    </row>
    <row r="375" spans="1:21">
      <c r="A375" s="857" t="s">
        <v>1843</v>
      </c>
      <c r="B375" s="857" t="s">
        <v>1812</v>
      </c>
      <c r="C375" s="857" t="s">
        <v>1906</v>
      </c>
      <c r="D375" s="874"/>
      <c r="E375" s="874"/>
      <c r="F375" s="874"/>
      <c r="G375" s="874"/>
      <c r="H375" s="874"/>
      <c r="I375" s="874"/>
      <c r="J375" s="874"/>
      <c r="K375" s="874"/>
      <c r="L375" s="874"/>
      <c r="M375" s="874"/>
      <c r="N375" s="874"/>
      <c r="O375" s="874"/>
      <c r="P375" s="874"/>
      <c r="Q375" s="874"/>
      <c r="R375" s="874"/>
      <c r="S375" s="874"/>
    </row>
    <row r="376" spans="1:21">
      <c r="A376" s="857" t="s">
        <v>1843</v>
      </c>
      <c r="B376" s="857" t="s">
        <v>1813</v>
      </c>
      <c r="C376" s="857" t="s">
        <v>1909</v>
      </c>
      <c r="D376" s="874"/>
      <c r="E376" s="874"/>
      <c r="F376" s="874"/>
      <c r="G376" s="874"/>
      <c r="H376" s="874"/>
      <c r="I376" s="874"/>
      <c r="J376" s="874"/>
      <c r="K376" s="874"/>
      <c r="L376" s="874"/>
      <c r="M376" s="874"/>
      <c r="N376" s="874"/>
      <c r="O376" s="874"/>
      <c r="P376" s="874"/>
      <c r="Q376" s="874"/>
      <c r="R376" s="874"/>
      <c r="S376" s="874"/>
    </row>
    <row r="377" spans="1:21">
      <c r="A377" s="857" t="s">
        <v>1843</v>
      </c>
      <c r="B377" s="857" t="s">
        <v>1815</v>
      </c>
      <c r="C377" s="857" t="s">
        <v>1646</v>
      </c>
      <c r="D377" s="874"/>
      <c r="E377" s="874"/>
      <c r="F377" s="874"/>
      <c r="G377" s="874"/>
      <c r="H377" s="874"/>
      <c r="I377" s="874"/>
      <c r="J377" s="874"/>
      <c r="K377" s="874"/>
      <c r="L377" s="874"/>
      <c r="M377" s="874"/>
      <c r="N377" s="874"/>
      <c r="O377" s="874"/>
      <c r="P377" s="874"/>
      <c r="Q377" s="874"/>
      <c r="R377" s="874"/>
      <c r="S377" s="874"/>
    </row>
    <row r="378" spans="1:21">
      <c r="A378" s="857" t="s">
        <v>1843</v>
      </c>
      <c r="B378" s="857" t="s">
        <v>1816</v>
      </c>
      <c r="C378" s="857" t="s">
        <v>1814</v>
      </c>
      <c r="D378" s="874"/>
      <c r="E378" s="874"/>
      <c r="F378" s="874"/>
      <c r="G378" s="874"/>
      <c r="H378" s="874"/>
      <c r="I378" s="874"/>
      <c r="J378" s="874"/>
      <c r="K378" s="874"/>
      <c r="L378" s="874"/>
      <c r="M378" s="874"/>
      <c r="N378" s="874"/>
      <c r="O378" s="874"/>
      <c r="P378" s="874"/>
      <c r="Q378" s="874"/>
      <c r="R378" s="874"/>
      <c r="S378" s="874"/>
    </row>
    <row r="379" spans="1:21">
      <c r="A379" s="857" t="s">
        <v>1843</v>
      </c>
      <c r="B379" s="857" t="s">
        <v>1794</v>
      </c>
      <c r="C379" s="857" t="s">
        <v>1899</v>
      </c>
      <c r="D379" s="874"/>
      <c r="E379" s="874"/>
      <c r="F379" s="874"/>
      <c r="G379" s="874"/>
      <c r="H379" s="874"/>
      <c r="I379" s="874"/>
      <c r="J379" s="874"/>
      <c r="K379" s="874"/>
      <c r="L379" s="874"/>
      <c r="M379" s="874"/>
      <c r="N379" s="874"/>
      <c r="O379" s="874"/>
      <c r="P379" s="874"/>
      <c r="Q379" s="874"/>
      <c r="R379" s="874"/>
      <c r="S379" s="874"/>
    </row>
    <row r="380" spans="1:21">
      <c r="A380" s="857" t="s">
        <v>1843</v>
      </c>
      <c r="B380" s="857" t="s">
        <v>1895</v>
      </c>
      <c r="C380" s="857"/>
      <c r="D380" s="874"/>
      <c r="E380" s="874"/>
      <c r="F380" s="874"/>
      <c r="G380" s="874"/>
      <c r="H380" s="874"/>
      <c r="I380" s="874"/>
      <c r="J380" s="874"/>
      <c r="K380" s="874"/>
      <c r="L380" s="874"/>
      <c r="M380" s="874"/>
      <c r="N380" s="874"/>
      <c r="O380" s="874"/>
      <c r="P380" s="874"/>
      <c r="Q380" s="874"/>
      <c r="R380" s="874"/>
      <c r="S380" s="874"/>
    </row>
    <row r="381" spans="1:21">
      <c r="A381" s="857" t="s">
        <v>1640</v>
      </c>
      <c r="B381" s="857" t="s">
        <v>1813</v>
      </c>
      <c r="C381" s="857" t="s">
        <v>1910</v>
      </c>
      <c r="D381" s="874"/>
      <c r="E381" s="874"/>
      <c r="F381" s="874"/>
      <c r="G381" s="874"/>
      <c r="H381" s="874"/>
      <c r="I381" s="874"/>
      <c r="J381" s="874"/>
      <c r="K381" s="874"/>
      <c r="L381" s="874"/>
      <c r="M381" s="874"/>
      <c r="N381" s="874"/>
      <c r="O381" s="874"/>
      <c r="P381" s="874"/>
      <c r="Q381" s="874"/>
      <c r="R381" s="874"/>
      <c r="S381" s="874"/>
    </row>
    <row r="382" spans="1:21">
      <c r="A382" s="857" t="s">
        <v>1640</v>
      </c>
      <c r="B382" s="857" t="s">
        <v>1815</v>
      </c>
      <c r="C382" s="857" t="s">
        <v>1646</v>
      </c>
      <c r="D382" s="874"/>
      <c r="E382" s="874"/>
      <c r="F382" s="874"/>
      <c r="G382" s="874"/>
      <c r="H382" s="874"/>
      <c r="I382" s="874"/>
      <c r="J382" s="874"/>
      <c r="K382" s="874"/>
      <c r="L382" s="874"/>
      <c r="M382" s="874"/>
      <c r="N382" s="874"/>
      <c r="O382" s="874"/>
      <c r="P382" s="874"/>
      <c r="Q382" s="874"/>
      <c r="R382" s="874"/>
      <c r="S382" s="874"/>
    </row>
    <row r="383" spans="1:21">
      <c r="A383" s="857" t="s">
        <v>1640</v>
      </c>
      <c r="B383" s="857" t="s">
        <v>1816</v>
      </c>
      <c r="C383" s="857" t="s">
        <v>1814</v>
      </c>
      <c r="D383" s="874"/>
      <c r="E383" s="874"/>
      <c r="F383" s="874"/>
      <c r="G383" s="874"/>
      <c r="H383" s="874"/>
      <c r="I383" s="874"/>
      <c r="J383" s="874"/>
      <c r="K383" s="874"/>
      <c r="L383" s="874"/>
      <c r="M383" s="874"/>
      <c r="N383" s="874"/>
      <c r="O383" s="874"/>
      <c r="P383" s="874"/>
      <c r="Q383" s="874"/>
      <c r="R383" s="874"/>
      <c r="S383" s="874"/>
    </row>
    <row r="384" spans="1:21">
      <c r="A384" s="857" t="s">
        <v>1640</v>
      </c>
      <c r="B384" s="857" t="s">
        <v>1794</v>
      </c>
      <c r="C384" s="857" t="s">
        <v>1913</v>
      </c>
      <c r="D384" s="874"/>
      <c r="E384" s="874"/>
      <c r="F384" s="874"/>
      <c r="G384" s="874"/>
      <c r="H384" s="874"/>
      <c r="I384" s="874"/>
      <c r="J384" s="874"/>
      <c r="K384" s="874"/>
      <c r="L384" s="874"/>
      <c r="M384" s="874"/>
      <c r="N384" s="874"/>
      <c r="O384" s="874"/>
      <c r="P384" s="874"/>
      <c r="Q384" s="874"/>
      <c r="R384" s="874"/>
      <c r="S384" s="874"/>
    </row>
    <row r="385" spans="1:19">
      <c r="A385" s="857" t="s">
        <v>1640</v>
      </c>
      <c r="B385" s="857" t="s">
        <v>1903</v>
      </c>
      <c r="C385" s="857"/>
      <c r="D385" s="874"/>
      <c r="E385" s="874"/>
      <c r="F385" s="874"/>
      <c r="G385" s="874"/>
      <c r="H385" s="874"/>
      <c r="I385" s="874"/>
      <c r="J385" s="874"/>
      <c r="K385" s="874"/>
      <c r="L385" s="874"/>
      <c r="M385" s="874"/>
      <c r="N385" s="874"/>
      <c r="O385" s="874"/>
      <c r="P385" s="874"/>
      <c r="Q385" s="874"/>
      <c r="R385" s="874"/>
      <c r="S385" s="874"/>
    </row>
    <row r="386" spans="1:19">
      <c r="A386" s="857" t="s">
        <v>1844</v>
      </c>
      <c r="B386" s="857" t="s">
        <v>1811</v>
      </c>
      <c r="C386" s="857" t="s">
        <v>1904</v>
      </c>
      <c r="D386" s="874"/>
      <c r="E386" s="874"/>
      <c r="F386" s="874"/>
      <c r="G386" s="874"/>
      <c r="H386" s="874"/>
      <c r="I386" s="874"/>
      <c r="J386" s="874"/>
      <c r="K386" s="874"/>
      <c r="L386" s="874"/>
      <c r="M386" s="874"/>
      <c r="N386" s="874"/>
      <c r="O386" s="874"/>
      <c r="P386" s="874"/>
      <c r="Q386" s="874"/>
      <c r="R386" s="874"/>
      <c r="S386" s="874"/>
    </row>
    <row r="387" spans="1:19">
      <c r="A387" s="857" t="s">
        <v>1844</v>
      </c>
      <c r="B387" s="857" t="s">
        <v>1812</v>
      </c>
      <c r="C387" s="857" t="s">
        <v>1906</v>
      </c>
      <c r="D387" s="874"/>
      <c r="E387" s="874"/>
      <c r="F387" s="874"/>
      <c r="G387" s="874"/>
      <c r="H387" s="874"/>
      <c r="I387" s="874"/>
      <c r="J387" s="874"/>
      <c r="K387" s="874"/>
      <c r="L387" s="874"/>
      <c r="M387" s="874"/>
      <c r="N387" s="874"/>
      <c r="O387" s="874"/>
      <c r="P387" s="874"/>
      <c r="Q387" s="874"/>
      <c r="R387" s="874"/>
      <c r="S387" s="874"/>
    </row>
    <row r="388" spans="1:19">
      <c r="A388" s="857" t="s">
        <v>1844</v>
      </c>
      <c r="B388" s="857" t="s">
        <v>1813</v>
      </c>
      <c r="C388" s="857" t="s">
        <v>1911</v>
      </c>
      <c r="D388" s="874"/>
      <c r="E388" s="874"/>
      <c r="F388" s="874"/>
      <c r="G388" s="874"/>
      <c r="H388" s="874"/>
      <c r="I388" s="874"/>
      <c r="J388" s="874"/>
      <c r="K388" s="874"/>
      <c r="L388" s="874"/>
      <c r="M388" s="874"/>
      <c r="N388" s="874"/>
      <c r="O388" s="874"/>
      <c r="P388" s="874"/>
      <c r="Q388" s="874"/>
      <c r="R388" s="874"/>
      <c r="S388" s="874"/>
    </row>
    <row r="389" spans="1:19">
      <c r="A389" s="857" t="s">
        <v>1844</v>
      </c>
      <c r="B389" s="857" t="s">
        <v>1815</v>
      </c>
      <c r="C389" s="857" t="s">
        <v>1646</v>
      </c>
      <c r="D389" s="874"/>
      <c r="E389" s="874"/>
      <c r="F389" s="874"/>
      <c r="G389" s="874"/>
      <c r="H389" s="874"/>
      <c r="I389" s="874"/>
      <c r="J389" s="874"/>
      <c r="K389" s="874"/>
      <c r="L389" s="874"/>
      <c r="M389" s="874"/>
      <c r="N389" s="874"/>
      <c r="O389" s="874"/>
      <c r="P389" s="874"/>
      <c r="Q389" s="874"/>
      <c r="R389" s="874"/>
      <c r="S389" s="874"/>
    </row>
    <row r="390" spans="1:19">
      <c r="A390" s="857" t="s">
        <v>1844</v>
      </c>
      <c r="B390" s="857" t="s">
        <v>1816</v>
      </c>
      <c r="C390" s="857" t="s">
        <v>1814</v>
      </c>
      <c r="D390" s="874"/>
      <c r="E390" s="874"/>
      <c r="F390" s="874"/>
      <c r="G390" s="874"/>
      <c r="H390" s="874"/>
      <c r="I390" s="874"/>
      <c r="J390" s="874"/>
      <c r="K390" s="874"/>
      <c r="L390" s="874"/>
      <c r="M390" s="874"/>
      <c r="N390" s="874"/>
      <c r="O390" s="874"/>
      <c r="P390" s="874"/>
      <c r="Q390" s="874"/>
      <c r="R390" s="874"/>
      <c r="S390" s="874"/>
    </row>
    <row r="391" spans="1:19">
      <c r="A391" s="857" t="s">
        <v>1844</v>
      </c>
      <c r="B391" s="857" t="s">
        <v>1794</v>
      </c>
      <c r="C391" s="857" t="s">
        <v>1914</v>
      </c>
      <c r="D391" s="874"/>
      <c r="E391" s="874"/>
      <c r="F391" s="874"/>
      <c r="G391" s="874"/>
      <c r="H391" s="874"/>
      <c r="I391" s="874"/>
      <c r="J391" s="874"/>
      <c r="K391" s="874"/>
      <c r="L391" s="874"/>
      <c r="M391" s="874"/>
      <c r="N391" s="874"/>
      <c r="O391" s="874"/>
      <c r="P391" s="874"/>
      <c r="Q391" s="874"/>
      <c r="R391" s="874"/>
      <c r="S391" s="874"/>
    </row>
    <row r="392" spans="1:19">
      <c r="A392" s="857" t="s">
        <v>1844</v>
      </c>
      <c r="B392" s="857" t="s">
        <v>1903</v>
      </c>
      <c r="C392" s="881"/>
      <c r="D392" s="874"/>
      <c r="E392" s="874"/>
      <c r="F392" s="874"/>
      <c r="G392" s="874"/>
      <c r="H392" s="874"/>
      <c r="I392" s="874"/>
      <c r="J392" s="874"/>
      <c r="K392" s="874"/>
      <c r="L392" s="874"/>
      <c r="M392" s="874"/>
      <c r="N392" s="874"/>
      <c r="O392" s="874"/>
      <c r="P392" s="874"/>
      <c r="Q392" s="874"/>
      <c r="R392" s="874"/>
      <c r="S392" s="874"/>
    </row>
    <row r="393" spans="1:19">
      <c r="A393" s="857" t="s">
        <v>1845</v>
      </c>
      <c r="B393" s="857" t="s">
        <v>1811</v>
      </c>
      <c r="C393" s="857" t="s">
        <v>1905</v>
      </c>
      <c r="D393" s="874"/>
      <c r="E393" s="874"/>
      <c r="F393" s="874"/>
      <c r="G393" s="874"/>
      <c r="H393" s="874"/>
      <c r="I393" s="874"/>
      <c r="J393" s="874"/>
      <c r="K393" s="874"/>
      <c r="L393" s="874"/>
      <c r="M393" s="874"/>
      <c r="N393" s="874"/>
      <c r="O393" s="874"/>
      <c r="P393" s="874"/>
      <c r="Q393" s="874"/>
      <c r="R393" s="874"/>
      <c r="S393" s="874"/>
    </row>
    <row r="394" spans="1:19">
      <c r="A394" s="857" t="s">
        <v>1845</v>
      </c>
      <c r="B394" s="857" t="s">
        <v>1812</v>
      </c>
      <c r="C394" s="857" t="s">
        <v>1907</v>
      </c>
      <c r="D394" s="874"/>
      <c r="E394" s="874"/>
      <c r="F394" s="874"/>
      <c r="G394" s="874"/>
      <c r="H394" s="874"/>
      <c r="I394" s="874"/>
      <c r="J394" s="874"/>
      <c r="K394" s="874"/>
      <c r="L394" s="874"/>
      <c r="M394" s="874"/>
      <c r="N394" s="874"/>
      <c r="O394" s="874"/>
      <c r="P394" s="874"/>
      <c r="Q394" s="874"/>
      <c r="R394" s="874"/>
      <c r="S394" s="874"/>
    </row>
    <row r="395" spans="1:19">
      <c r="A395" s="857" t="s">
        <v>1845</v>
      </c>
      <c r="B395" s="857" t="s">
        <v>1813</v>
      </c>
      <c r="C395" s="857" t="s">
        <v>1910</v>
      </c>
      <c r="D395" s="874"/>
      <c r="E395" s="874"/>
      <c r="F395" s="874"/>
      <c r="G395" s="874"/>
      <c r="H395" s="874"/>
      <c r="I395" s="874"/>
      <c r="J395" s="874"/>
      <c r="K395" s="874"/>
      <c r="L395" s="874"/>
      <c r="M395" s="874"/>
      <c r="N395" s="874"/>
      <c r="O395" s="874"/>
      <c r="P395" s="874"/>
      <c r="Q395" s="874"/>
      <c r="R395" s="874"/>
      <c r="S395" s="874"/>
    </row>
    <row r="396" spans="1:19">
      <c r="A396" s="857" t="s">
        <v>1845</v>
      </c>
      <c r="B396" s="857" t="s">
        <v>1815</v>
      </c>
      <c r="C396" s="857" t="s">
        <v>1646</v>
      </c>
      <c r="D396" s="874"/>
      <c r="E396" s="874"/>
      <c r="F396" s="874"/>
      <c r="G396" s="874"/>
      <c r="H396" s="874"/>
      <c r="I396" s="874"/>
      <c r="J396" s="874"/>
      <c r="K396" s="874"/>
      <c r="L396" s="874"/>
      <c r="M396" s="874"/>
      <c r="N396" s="874"/>
      <c r="O396" s="874"/>
      <c r="P396" s="874"/>
      <c r="Q396" s="874"/>
      <c r="R396" s="874"/>
      <c r="S396" s="874"/>
    </row>
    <row r="397" spans="1:19">
      <c r="A397" s="857" t="s">
        <v>1845</v>
      </c>
      <c r="B397" s="857" t="s">
        <v>1816</v>
      </c>
      <c r="C397" s="857" t="s">
        <v>1814</v>
      </c>
      <c r="D397" s="874"/>
      <c r="E397" s="874"/>
      <c r="F397" s="874"/>
      <c r="G397" s="874"/>
      <c r="H397" s="874"/>
      <c r="I397" s="874"/>
      <c r="J397" s="874"/>
      <c r="K397" s="874"/>
      <c r="L397" s="874"/>
      <c r="M397" s="874"/>
      <c r="N397" s="874"/>
      <c r="O397" s="874"/>
      <c r="P397" s="874"/>
      <c r="Q397" s="874"/>
      <c r="R397" s="874"/>
      <c r="S397" s="874"/>
    </row>
    <row r="398" spans="1:19">
      <c r="A398" s="857" t="s">
        <v>1845</v>
      </c>
      <c r="B398" s="857" t="s">
        <v>1794</v>
      </c>
      <c r="C398" s="857" t="s">
        <v>1914</v>
      </c>
      <c r="D398" s="874"/>
      <c r="E398" s="874"/>
      <c r="F398" s="874"/>
      <c r="G398" s="874"/>
      <c r="H398" s="874"/>
      <c r="I398" s="874"/>
      <c r="J398" s="874"/>
      <c r="K398" s="874"/>
      <c r="L398" s="874"/>
      <c r="M398" s="874"/>
      <c r="N398" s="874"/>
      <c r="O398" s="874"/>
      <c r="P398" s="874"/>
      <c r="Q398" s="874"/>
      <c r="R398" s="874"/>
      <c r="S398" s="874"/>
    </row>
    <row r="399" spans="1:19">
      <c r="A399" s="857" t="s">
        <v>1845</v>
      </c>
      <c r="B399" s="857" t="s">
        <v>1903</v>
      </c>
      <c r="C399" s="881"/>
      <c r="D399" s="874"/>
      <c r="E399" s="874"/>
      <c r="F399" s="874"/>
      <c r="G399" s="874"/>
      <c r="H399" s="874"/>
      <c r="I399" s="874"/>
      <c r="J399" s="874"/>
      <c r="K399" s="874"/>
      <c r="L399" s="874"/>
      <c r="M399" s="874"/>
      <c r="N399" s="874"/>
      <c r="O399" s="874"/>
      <c r="P399" s="874"/>
      <c r="Q399" s="874"/>
      <c r="R399" s="874"/>
      <c r="S399" s="874"/>
    </row>
    <row r="400" spans="1:19">
      <c r="A400" s="857" t="s">
        <v>1846</v>
      </c>
      <c r="B400" s="857" t="s">
        <v>1811</v>
      </c>
      <c r="C400" s="857" t="s">
        <v>1905</v>
      </c>
      <c r="D400" s="874"/>
      <c r="E400" s="874"/>
      <c r="F400" s="874"/>
      <c r="G400" s="874"/>
      <c r="H400" s="874"/>
      <c r="I400" s="874"/>
      <c r="J400" s="874"/>
      <c r="K400" s="874"/>
      <c r="L400" s="874"/>
      <c r="M400" s="874"/>
      <c r="N400" s="874"/>
      <c r="O400" s="874"/>
      <c r="P400" s="874"/>
      <c r="Q400" s="874"/>
      <c r="R400" s="874"/>
      <c r="S400" s="874"/>
    </row>
    <row r="401" spans="1:19">
      <c r="A401" s="857" t="s">
        <v>1846</v>
      </c>
      <c r="B401" s="857" t="s">
        <v>1812</v>
      </c>
      <c r="C401" s="857" t="s">
        <v>1908</v>
      </c>
      <c r="D401" s="874"/>
      <c r="E401" s="874"/>
      <c r="F401" s="874"/>
      <c r="G401" s="874"/>
      <c r="H401" s="874"/>
      <c r="I401" s="874"/>
      <c r="J401" s="874"/>
      <c r="K401" s="874"/>
      <c r="L401" s="874"/>
      <c r="M401" s="874"/>
      <c r="N401" s="874"/>
      <c r="O401" s="874"/>
      <c r="P401" s="874"/>
      <c r="Q401" s="874"/>
      <c r="R401" s="874"/>
      <c r="S401" s="874"/>
    </row>
    <row r="402" spans="1:19">
      <c r="A402" s="857" t="s">
        <v>1846</v>
      </c>
      <c r="B402" s="857" t="s">
        <v>1813</v>
      </c>
      <c r="C402" s="857" t="s">
        <v>1910</v>
      </c>
      <c r="D402" s="874"/>
      <c r="E402" s="874"/>
      <c r="F402" s="874"/>
      <c r="G402" s="874"/>
      <c r="H402" s="874"/>
      <c r="I402" s="874"/>
      <c r="J402" s="874"/>
      <c r="K402" s="874"/>
      <c r="L402" s="874"/>
      <c r="M402" s="874"/>
      <c r="N402" s="874"/>
      <c r="O402" s="874"/>
      <c r="P402" s="874"/>
      <c r="Q402" s="874"/>
      <c r="R402" s="874"/>
      <c r="S402" s="874"/>
    </row>
    <row r="403" spans="1:19">
      <c r="A403" s="857" t="s">
        <v>1846</v>
      </c>
      <c r="B403" s="857" t="s">
        <v>1815</v>
      </c>
      <c r="C403" s="857" t="s">
        <v>1646</v>
      </c>
      <c r="D403" s="874"/>
      <c r="E403" s="874"/>
      <c r="F403" s="874"/>
      <c r="G403" s="874"/>
      <c r="H403" s="874"/>
      <c r="I403" s="874"/>
      <c r="J403" s="874"/>
      <c r="K403" s="874"/>
      <c r="L403" s="874"/>
      <c r="M403" s="874"/>
      <c r="N403" s="874"/>
      <c r="O403" s="874"/>
      <c r="P403" s="874"/>
      <c r="Q403" s="874"/>
      <c r="R403" s="874"/>
      <c r="S403" s="874"/>
    </row>
    <row r="404" spans="1:19">
      <c r="A404" s="857" t="s">
        <v>1846</v>
      </c>
      <c r="B404" s="857" t="s">
        <v>1816</v>
      </c>
      <c r="C404" s="857" t="s">
        <v>1814</v>
      </c>
      <c r="D404" s="874"/>
      <c r="E404" s="874"/>
      <c r="F404" s="874"/>
      <c r="G404" s="874"/>
      <c r="H404" s="874"/>
      <c r="I404" s="874"/>
      <c r="J404" s="874"/>
      <c r="K404" s="874"/>
      <c r="L404" s="874"/>
      <c r="M404" s="874"/>
      <c r="N404" s="874"/>
      <c r="O404" s="874"/>
      <c r="P404" s="874"/>
      <c r="Q404" s="874"/>
      <c r="R404" s="874"/>
      <c r="S404" s="874"/>
    </row>
    <row r="405" spans="1:19">
      <c r="A405" s="857" t="s">
        <v>1846</v>
      </c>
      <c r="B405" s="857" t="s">
        <v>1794</v>
      </c>
      <c r="C405" s="857" t="s">
        <v>1914</v>
      </c>
      <c r="D405" s="874"/>
      <c r="E405" s="874"/>
      <c r="F405" s="874"/>
      <c r="G405" s="874"/>
      <c r="H405" s="874"/>
      <c r="I405" s="874"/>
      <c r="J405" s="874"/>
      <c r="K405" s="874"/>
      <c r="L405" s="874"/>
      <c r="M405" s="874"/>
      <c r="N405" s="874"/>
      <c r="O405" s="874"/>
      <c r="P405" s="874"/>
      <c r="Q405" s="874"/>
      <c r="R405" s="874"/>
      <c r="S405" s="874"/>
    </row>
    <row r="406" spans="1:19">
      <c r="A406" s="857" t="s">
        <v>1846</v>
      </c>
      <c r="B406" s="857" t="s">
        <v>1903</v>
      </c>
      <c r="C406" s="881"/>
      <c r="D406" s="874"/>
      <c r="E406" s="874"/>
      <c r="F406" s="874"/>
      <c r="G406" s="874"/>
      <c r="H406" s="874"/>
      <c r="I406" s="874"/>
      <c r="J406" s="874"/>
      <c r="K406" s="874"/>
      <c r="L406" s="874"/>
      <c r="M406" s="874"/>
      <c r="N406" s="874"/>
      <c r="O406" s="874"/>
      <c r="P406" s="874"/>
      <c r="Q406" s="874"/>
      <c r="R406" s="874"/>
      <c r="S406" s="874"/>
    </row>
    <row r="407" spans="1:19">
      <c r="A407" s="857" t="s">
        <v>1847</v>
      </c>
      <c r="B407" s="857" t="s">
        <v>1811</v>
      </c>
      <c r="C407" s="857" t="s">
        <v>1905</v>
      </c>
      <c r="D407" s="874"/>
      <c r="E407" s="874"/>
      <c r="F407" s="874"/>
      <c r="G407" s="874"/>
      <c r="H407" s="874"/>
      <c r="I407" s="874"/>
      <c r="J407" s="874"/>
      <c r="K407" s="874"/>
      <c r="L407" s="874"/>
      <c r="M407" s="874"/>
      <c r="N407" s="874"/>
      <c r="O407" s="874"/>
      <c r="P407" s="874"/>
      <c r="Q407" s="874"/>
      <c r="R407" s="874"/>
      <c r="S407" s="874"/>
    </row>
    <row r="408" spans="1:19">
      <c r="A408" s="857" t="s">
        <v>1847</v>
      </c>
      <c r="B408" s="857" t="s">
        <v>1812</v>
      </c>
      <c r="C408" s="857" t="s">
        <v>1908</v>
      </c>
      <c r="D408" s="874"/>
      <c r="E408" s="874"/>
      <c r="F408" s="874"/>
      <c r="G408" s="874"/>
      <c r="H408" s="874"/>
      <c r="I408" s="874"/>
      <c r="J408" s="874"/>
      <c r="K408" s="874"/>
      <c r="L408" s="874"/>
      <c r="M408" s="874"/>
      <c r="N408" s="874"/>
      <c r="O408" s="874"/>
      <c r="P408" s="874"/>
      <c r="Q408" s="874"/>
      <c r="R408" s="874"/>
      <c r="S408" s="874"/>
    </row>
    <row r="409" spans="1:19">
      <c r="A409" s="857" t="s">
        <v>1847</v>
      </c>
      <c r="B409" s="857" t="s">
        <v>1813</v>
      </c>
      <c r="C409" s="857" t="s">
        <v>1912</v>
      </c>
      <c r="D409" s="874"/>
      <c r="E409" s="874"/>
      <c r="F409" s="874"/>
      <c r="G409" s="874"/>
      <c r="H409" s="874"/>
      <c r="I409" s="874"/>
      <c r="J409" s="874"/>
      <c r="K409" s="874"/>
      <c r="L409" s="874"/>
      <c r="M409" s="874"/>
      <c r="N409" s="874"/>
      <c r="O409" s="874"/>
      <c r="P409" s="874"/>
      <c r="Q409" s="874"/>
      <c r="R409" s="874"/>
      <c r="S409" s="874"/>
    </row>
    <row r="410" spans="1:19">
      <c r="A410" s="857" t="s">
        <v>1847</v>
      </c>
      <c r="B410" s="857" t="s">
        <v>1815</v>
      </c>
      <c r="C410" s="857" t="s">
        <v>1646</v>
      </c>
      <c r="D410" s="874"/>
      <c r="E410" s="874"/>
      <c r="F410" s="874"/>
      <c r="G410" s="874"/>
      <c r="H410" s="874"/>
      <c r="I410" s="874"/>
      <c r="J410" s="874"/>
      <c r="K410" s="874"/>
      <c r="L410" s="874"/>
      <c r="M410" s="874"/>
      <c r="N410" s="874"/>
      <c r="O410" s="874"/>
      <c r="P410" s="874"/>
      <c r="Q410" s="874"/>
      <c r="R410" s="874"/>
      <c r="S410" s="874"/>
    </row>
    <row r="411" spans="1:19">
      <c r="A411" s="857" t="s">
        <v>1847</v>
      </c>
      <c r="B411" s="857" t="s">
        <v>1816</v>
      </c>
      <c r="C411" s="857" t="s">
        <v>1814</v>
      </c>
      <c r="D411" s="874"/>
      <c r="E411" s="874"/>
      <c r="F411" s="874"/>
      <c r="G411" s="874"/>
      <c r="H411" s="874"/>
      <c r="I411" s="874"/>
      <c r="J411" s="874"/>
      <c r="K411" s="874"/>
      <c r="L411" s="874"/>
      <c r="M411" s="874"/>
      <c r="N411" s="874"/>
      <c r="O411" s="874"/>
      <c r="P411" s="874"/>
      <c r="Q411" s="874"/>
      <c r="R411" s="874"/>
      <c r="S411" s="874"/>
    </row>
    <row r="412" spans="1:19">
      <c r="A412" s="857" t="s">
        <v>1847</v>
      </c>
      <c r="B412" s="857" t="s">
        <v>1794</v>
      </c>
      <c r="C412" s="857" t="s">
        <v>1914</v>
      </c>
      <c r="D412" s="874"/>
      <c r="E412" s="874"/>
      <c r="F412" s="874"/>
      <c r="G412" s="874"/>
      <c r="H412" s="874"/>
      <c r="I412" s="874"/>
      <c r="J412" s="874"/>
      <c r="K412" s="874"/>
      <c r="L412" s="874"/>
      <c r="M412" s="874"/>
      <c r="N412" s="874"/>
      <c r="O412" s="874"/>
      <c r="P412" s="874"/>
      <c r="Q412" s="874"/>
      <c r="R412" s="874"/>
      <c r="S412" s="874"/>
    </row>
    <row r="413" spans="1:19">
      <c r="A413" s="857" t="s">
        <v>1847</v>
      </c>
      <c r="B413" s="857" t="s">
        <v>1903</v>
      </c>
      <c r="C413" s="881"/>
      <c r="D413" s="874"/>
      <c r="E413" s="874"/>
      <c r="F413" s="874"/>
      <c r="G413" s="874"/>
      <c r="H413" s="874"/>
      <c r="I413" s="874"/>
      <c r="J413" s="874"/>
      <c r="K413" s="874"/>
      <c r="L413" s="874"/>
      <c r="M413" s="874"/>
      <c r="N413" s="874"/>
      <c r="O413" s="874"/>
      <c r="P413" s="874"/>
      <c r="Q413" s="874"/>
      <c r="R413" s="874"/>
      <c r="S413" s="874"/>
    </row>
    <row r="414" spans="1:19">
      <c r="A414" s="857"/>
      <c r="B414" s="857"/>
      <c r="C414" s="857"/>
      <c r="D414" s="874"/>
      <c r="E414" s="874"/>
      <c r="F414" s="874"/>
      <c r="G414" s="874"/>
      <c r="H414" s="874"/>
      <c r="I414" s="874"/>
      <c r="J414" s="874"/>
      <c r="K414" s="874"/>
      <c r="L414" s="874"/>
      <c r="M414" s="874"/>
      <c r="N414" s="874"/>
      <c r="O414" s="874"/>
      <c r="P414" s="874"/>
      <c r="Q414" s="874"/>
      <c r="R414" s="874"/>
      <c r="S414" s="874"/>
    </row>
    <row r="415" spans="1:19">
      <c r="A415" s="857"/>
      <c r="B415" s="857"/>
      <c r="C415" s="857"/>
      <c r="D415" s="874"/>
      <c r="E415" s="874"/>
      <c r="F415" s="874"/>
      <c r="G415" s="874"/>
      <c r="H415" s="874"/>
      <c r="I415" s="874"/>
      <c r="J415" s="874"/>
      <c r="K415" s="874"/>
      <c r="L415" s="874"/>
      <c r="M415" s="874"/>
      <c r="N415" s="874"/>
      <c r="O415" s="874"/>
      <c r="P415" s="874"/>
      <c r="Q415" s="874"/>
      <c r="R415" s="874"/>
      <c r="S415" s="874"/>
    </row>
    <row r="416" spans="1:19">
      <c r="A416" s="857"/>
      <c r="B416" s="857"/>
      <c r="C416" s="857"/>
      <c r="D416" s="874"/>
      <c r="E416" s="874"/>
      <c r="F416" s="874"/>
      <c r="G416" s="874"/>
      <c r="H416" s="874"/>
      <c r="I416" s="874"/>
      <c r="J416" s="874"/>
      <c r="K416" s="874"/>
      <c r="L416" s="874"/>
      <c r="M416" s="874"/>
      <c r="N416" s="874"/>
      <c r="O416" s="874"/>
      <c r="P416" s="874"/>
      <c r="Q416" s="874"/>
      <c r="R416" s="874"/>
      <c r="S416" s="874"/>
    </row>
    <row r="417" spans="1:19">
      <c r="A417" s="857" t="s">
        <v>1811</v>
      </c>
      <c r="B417" s="857" t="s">
        <v>1818</v>
      </c>
      <c r="C417" s="857"/>
      <c r="D417" s="874"/>
      <c r="E417" s="874"/>
      <c r="F417" s="874"/>
      <c r="G417" s="874"/>
      <c r="H417" s="874"/>
      <c r="I417" s="874"/>
      <c r="J417" s="874"/>
      <c r="K417" s="874"/>
      <c r="L417" s="874"/>
      <c r="M417" s="874"/>
      <c r="N417" s="874"/>
      <c r="O417" s="874"/>
      <c r="P417" s="874"/>
      <c r="Q417" s="874"/>
      <c r="R417" s="874"/>
      <c r="S417" s="874"/>
    </row>
    <row r="418" spans="1:19">
      <c r="A418" s="857" t="s">
        <v>1812</v>
      </c>
      <c r="B418" s="857" t="s">
        <v>1915</v>
      </c>
      <c r="C418" s="857"/>
      <c r="D418" s="874"/>
      <c r="E418" s="874"/>
      <c r="F418" s="874"/>
      <c r="G418" s="874"/>
      <c r="H418" s="874"/>
      <c r="I418" s="874"/>
      <c r="J418" s="874"/>
      <c r="K418" s="874"/>
      <c r="L418" s="874"/>
      <c r="M418" s="874"/>
      <c r="N418" s="874"/>
      <c r="O418" s="874"/>
      <c r="P418" s="874"/>
      <c r="Q418" s="874"/>
      <c r="R418" s="874"/>
      <c r="S418" s="874"/>
    </row>
    <row r="419" spans="1:19">
      <c r="A419" s="857" t="s">
        <v>1813</v>
      </c>
      <c r="B419" s="857" t="s">
        <v>1819</v>
      </c>
      <c r="C419" s="857"/>
      <c r="D419" s="874"/>
      <c r="E419" s="874"/>
      <c r="F419" s="874"/>
      <c r="G419" s="874"/>
      <c r="H419" s="874"/>
      <c r="I419" s="874"/>
      <c r="J419" s="874"/>
      <c r="K419" s="874"/>
      <c r="L419" s="874"/>
      <c r="M419" s="874"/>
      <c r="N419" s="874"/>
      <c r="O419" s="874"/>
      <c r="P419" s="874"/>
      <c r="Q419" s="874"/>
      <c r="R419" s="874"/>
      <c r="S419" s="874"/>
    </row>
    <row r="420" spans="1:19">
      <c r="A420" s="857" t="s">
        <v>1815</v>
      </c>
      <c r="B420" s="857" t="s">
        <v>1821</v>
      </c>
      <c r="C420" s="857"/>
      <c r="D420" s="874"/>
      <c r="E420" s="874"/>
      <c r="F420" s="874"/>
      <c r="G420" s="874"/>
      <c r="H420" s="874"/>
      <c r="I420" s="874"/>
      <c r="J420" s="874"/>
      <c r="K420" s="874"/>
      <c r="L420" s="874"/>
      <c r="M420" s="874"/>
      <c r="N420" s="874"/>
      <c r="O420" s="874"/>
      <c r="P420" s="874"/>
      <c r="Q420" s="874"/>
      <c r="R420" s="874"/>
      <c r="S420" s="874"/>
    </row>
    <row r="421" spans="1:19">
      <c r="A421" s="857" t="s">
        <v>1816</v>
      </c>
      <c r="B421" s="857" t="s">
        <v>1822</v>
      </c>
      <c r="C421" s="857"/>
      <c r="D421" s="874"/>
      <c r="E421" s="874"/>
      <c r="F421" s="874"/>
      <c r="G421" s="874"/>
      <c r="H421" s="874"/>
      <c r="I421" s="874"/>
      <c r="J421" s="874"/>
      <c r="K421" s="874"/>
      <c r="L421" s="874"/>
      <c r="M421" s="874"/>
      <c r="N421" s="874"/>
      <c r="O421" s="874"/>
      <c r="P421" s="874"/>
      <c r="Q421" s="874"/>
      <c r="R421" s="874"/>
      <c r="S421" s="874"/>
    </row>
    <row r="422" spans="1:19">
      <c r="A422" s="857" t="s">
        <v>1817</v>
      </c>
      <c r="B422" s="857" t="s">
        <v>1823</v>
      </c>
      <c r="C422" s="857"/>
      <c r="D422" s="874"/>
      <c r="E422" s="874"/>
      <c r="F422" s="874"/>
      <c r="G422" s="874"/>
      <c r="H422" s="874"/>
      <c r="I422" s="874"/>
      <c r="J422" s="874"/>
      <c r="K422" s="874"/>
      <c r="L422" s="874"/>
      <c r="M422" s="874"/>
      <c r="N422" s="874"/>
      <c r="O422" s="874"/>
      <c r="P422" s="874"/>
      <c r="Q422" s="874"/>
      <c r="R422" s="874"/>
      <c r="S422" s="874"/>
    </row>
    <row r="423" spans="1:19">
      <c r="A423" s="857" t="s">
        <v>1794</v>
      </c>
      <c r="B423" s="857" t="s">
        <v>1824</v>
      </c>
      <c r="C423" s="857"/>
      <c r="D423" s="874"/>
      <c r="E423" s="874"/>
      <c r="F423" s="874"/>
      <c r="G423" s="874"/>
      <c r="H423" s="874"/>
      <c r="I423" s="874"/>
      <c r="J423" s="874"/>
      <c r="K423" s="874"/>
      <c r="L423" s="874"/>
      <c r="M423" s="874"/>
      <c r="N423" s="874"/>
      <c r="O423" s="874"/>
      <c r="P423" s="874"/>
      <c r="Q423" s="874"/>
      <c r="R423" s="874"/>
      <c r="S423" s="874"/>
    </row>
    <row r="424" spans="1:19">
      <c r="A424" s="857" t="s">
        <v>1895</v>
      </c>
      <c r="B424" s="857" t="s">
        <v>1895</v>
      </c>
      <c r="C424" s="857"/>
      <c r="D424" s="874"/>
      <c r="E424" s="874"/>
      <c r="F424" s="874"/>
      <c r="G424" s="874"/>
      <c r="H424" s="874"/>
      <c r="I424" s="874"/>
      <c r="J424" s="874"/>
      <c r="K424" s="874"/>
      <c r="L424" s="874"/>
      <c r="M424" s="874"/>
      <c r="N424" s="874"/>
      <c r="O424" s="874"/>
      <c r="P424" s="874"/>
      <c r="Q424" s="874"/>
      <c r="R424" s="874"/>
      <c r="S424" s="874"/>
    </row>
    <row r="425" spans="1:19">
      <c r="A425" s="857" t="s">
        <v>1645</v>
      </c>
      <c r="B425" s="857" t="s">
        <v>1788</v>
      </c>
      <c r="C425" s="857"/>
      <c r="D425" s="874"/>
      <c r="E425" s="874"/>
      <c r="F425" s="874"/>
      <c r="G425" s="874"/>
      <c r="H425" s="874"/>
      <c r="I425" s="874"/>
      <c r="J425" s="874"/>
      <c r="K425" s="874"/>
      <c r="L425" s="874"/>
      <c r="M425" s="874"/>
      <c r="N425" s="874"/>
      <c r="O425" s="874"/>
      <c r="P425" s="874"/>
      <c r="Q425" s="874"/>
      <c r="R425" s="874"/>
      <c r="S425" s="874"/>
    </row>
    <row r="426" spans="1:19">
      <c r="A426" s="857" t="s">
        <v>1646</v>
      </c>
      <c r="B426" s="857" t="s">
        <v>1789</v>
      </c>
      <c r="C426" s="857"/>
      <c r="D426" s="874"/>
      <c r="E426" s="874"/>
      <c r="F426" s="874"/>
      <c r="G426" s="874"/>
      <c r="H426" s="874"/>
      <c r="I426" s="874"/>
      <c r="J426" s="874"/>
      <c r="K426" s="874"/>
      <c r="L426" s="874"/>
      <c r="M426" s="874"/>
      <c r="N426" s="874"/>
      <c r="O426" s="874"/>
      <c r="P426" s="874"/>
      <c r="Q426" s="874"/>
      <c r="R426" s="874"/>
      <c r="S426" s="874"/>
    </row>
    <row r="427" spans="1:19">
      <c r="A427" s="857" t="s">
        <v>1814</v>
      </c>
      <c r="B427" s="857" t="s">
        <v>1820</v>
      </c>
      <c r="C427" s="857"/>
      <c r="D427" s="874"/>
      <c r="E427" s="874"/>
      <c r="F427" s="874"/>
      <c r="G427" s="874"/>
      <c r="H427" s="874"/>
      <c r="I427" s="874"/>
      <c r="J427" s="874"/>
      <c r="K427" s="874"/>
      <c r="L427" s="874"/>
      <c r="M427" s="874"/>
      <c r="N427" s="874"/>
      <c r="O427" s="874"/>
      <c r="P427" s="874"/>
      <c r="Q427" s="874"/>
      <c r="R427" s="874"/>
      <c r="S427" s="874"/>
    </row>
    <row r="428" spans="1:19">
      <c r="A428" s="857" t="s">
        <v>1896</v>
      </c>
      <c r="B428" s="857" t="s">
        <v>1900</v>
      </c>
      <c r="C428" s="857"/>
      <c r="D428" s="874"/>
      <c r="E428" s="874"/>
      <c r="F428" s="874"/>
      <c r="G428" s="874"/>
      <c r="H428" s="874"/>
      <c r="I428" s="874"/>
      <c r="J428" s="874"/>
      <c r="K428" s="874"/>
      <c r="L428" s="874"/>
      <c r="M428" s="874"/>
      <c r="N428" s="874"/>
      <c r="O428" s="874"/>
      <c r="P428" s="874"/>
      <c r="Q428" s="874"/>
      <c r="R428" s="874"/>
      <c r="S428" s="874"/>
    </row>
    <row r="429" spans="1:19">
      <c r="A429" s="857" t="s">
        <v>1897</v>
      </c>
      <c r="B429" s="857" t="s">
        <v>1901</v>
      </c>
      <c r="C429" s="857"/>
      <c r="D429" s="874"/>
      <c r="E429" s="874"/>
      <c r="F429" s="874"/>
      <c r="G429" s="874"/>
      <c r="H429" s="874"/>
      <c r="I429" s="874"/>
      <c r="J429" s="874"/>
      <c r="K429" s="874"/>
      <c r="L429" s="874"/>
      <c r="M429" s="874"/>
      <c r="N429" s="874"/>
      <c r="O429" s="874"/>
      <c r="P429" s="874"/>
      <c r="Q429" s="874"/>
      <c r="R429" s="874"/>
      <c r="S429" s="874"/>
    </row>
    <row r="430" spans="1:19">
      <c r="A430" s="857" t="s">
        <v>1898</v>
      </c>
      <c r="B430" s="857" t="s">
        <v>1902</v>
      </c>
      <c r="C430" s="857"/>
      <c r="D430" s="874"/>
      <c r="E430" s="874"/>
      <c r="F430" s="874"/>
      <c r="G430" s="874"/>
      <c r="H430" s="874"/>
      <c r="I430" s="874"/>
      <c r="J430" s="874"/>
      <c r="K430" s="874"/>
      <c r="L430" s="874"/>
      <c r="M430" s="874"/>
      <c r="N430" s="874"/>
      <c r="O430" s="874"/>
      <c r="P430" s="874"/>
      <c r="Q430" s="874"/>
      <c r="R430" s="874"/>
      <c r="S430" s="874"/>
    </row>
    <row r="431" spans="1:19">
      <c r="A431" s="857" t="s">
        <v>1899</v>
      </c>
      <c r="B431" s="857" t="s">
        <v>1899</v>
      </c>
      <c r="C431" s="857"/>
      <c r="D431" s="874"/>
      <c r="E431" s="874"/>
      <c r="F431" s="874"/>
      <c r="G431" s="874"/>
      <c r="H431" s="874"/>
      <c r="I431" s="874"/>
      <c r="J431" s="874"/>
      <c r="K431" s="874"/>
      <c r="L431" s="874"/>
      <c r="M431" s="874"/>
      <c r="N431" s="874"/>
      <c r="O431" s="874"/>
      <c r="P431" s="874"/>
      <c r="Q431" s="874"/>
      <c r="R431" s="874"/>
      <c r="S431" s="874"/>
    </row>
    <row r="432" spans="1:19">
      <c r="A432" s="857" t="s">
        <v>2286</v>
      </c>
      <c r="B432" s="857" t="s">
        <v>2297</v>
      </c>
      <c r="C432" s="857"/>
      <c r="D432" s="874"/>
      <c r="E432" s="874"/>
      <c r="F432" s="874"/>
      <c r="G432" s="874"/>
      <c r="H432" s="874"/>
      <c r="I432" s="874"/>
      <c r="J432" s="874"/>
      <c r="K432" s="874"/>
      <c r="L432" s="874"/>
      <c r="M432" s="874"/>
      <c r="N432" s="874"/>
      <c r="O432" s="874"/>
      <c r="P432" s="874"/>
      <c r="Q432" s="874"/>
      <c r="R432" s="874"/>
      <c r="S432" s="874"/>
    </row>
    <row r="433" spans="1:19">
      <c r="A433" s="857" t="s">
        <v>2287</v>
      </c>
      <c r="B433" s="857" t="s">
        <v>2298</v>
      </c>
      <c r="C433" s="857"/>
      <c r="D433" s="874"/>
      <c r="E433" s="874"/>
      <c r="F433" s="874"/>
      <c r="G433" s="874"/>
      <c r="H433" s="874"/>
      <c r="I433" s="874"/>
      <c r="J433" s="874"/>
      <c r="K433" s="874"/>
      <c r="L433" s="874"/>
      <c r="M433" s="874"/>
      <c r="N433" s="874"/>
      <c r="O433" s="874"/>
      <c r="P433" s="874"/>
      <c r="Q433" s="874"/>
      <c r="R433" s="874"/>
      <c r="S433" s="874"/>
    </row>
    <row r="434" spans="1:19">
      <c r="A434" s="857" t="s">
        <v>2296</v>
      </c>
      <c r="B434" s="857" t="s">
        <v>2288</v>
      </c>
      <c r="C434" s="857"/>
      <c r="D434" s="874"/>
      <c r="E434" s="874"/>
      <c r="F434" s="874"/>
      <c r="G434" s="874"/>
      <c r="H434" s="874"/>
      <c r="I434" s="874"/>
      <c r="J434" s="874"/>
      <c r="K434" s="874"/>
      <c r="L434" s="874"/>
      <c r="M434" s="874"/>
      <c r="N434" s="874"/>
      <c r="O434" s="874"/>
      <c r="P434" s="874"/>
      <c r="Q434" s="874"/>
      <c r="R434" s="874"/>
      <c r="S434" s="874"/>
    </row>
    <row r="435" spans="1:19">
      <c r="A435" s="857" t="s">
        <v>2289</v>
      </c>
      <c r="B435" s="857" t="s">
        <v>2299</v>
      </c>
      <c r="C435" s="857"/>
      <c r="D435" s="874"/>
      <c r="E435" s="874"/>
      <c r="F435" s="874"/>
      <c r="G435" s="874"/>
      <c r="H435" s="874"/>
      <c r="I435" s="874"/>
      <c r="J435" s="874"/>
      <c r="K435" s="874"/>
      <c r="L435" s="874"/>
      <c r="M435" s="874"/>
      <c r="N435" s="874"/>
      <c r="O435" s="874"/>
      <c r="P435" s="874"/>
      <c r="Q435" s="874"/>
      <c r="R435" s="874"/>
      <c r="S435" s="874"/>
    </row>
    <row r="436" spans="1:19">
      <c r="A436" s="857" t="s">
        <v>2290</v>
      </c>
      <c r="B436" s="857" t="s">
        <v>2300</v>
      </c>
      <c r="C436" s="857"/>
      <c r="D436" s="874"/>
      <c r="E436" s="874"/>
      <c r="F436" s="874"/>
      <c r="G436" s="874"/>
      <c r="H436" s="874"/>
      <c r="I436" s="874"/>
      <c r="J436" s="874"/>
      <c r="K436" s="874"/>
      <c r="L436" s="874"/>
      <c r="M436" s="874"/>
      <c r="N436" s="874"/>
      <c r="O436" s="874"/>
      <c r="P436" s="874"/>
      <c r="Q436" s="874"/>
      <c r="R436" s="874"/>
      <c r="S436" s="874"/>
    </row>
    <row r="437" spans="1:19">
      <c r="A437" s="857" t="s">
        <v>2291</v>
      </c>
      <c r="B437" s="857" t="s">
        <v>2301</v>
      </c>
      <c r="C437" s="857"/>
      <c r="D437" s="874"/>
      <c r="E437" s="874"/>
      <c r="F437" s="874"/>
      <c r="G437" s="874"/>
      <c r="H437" s="874"/>
      <c r="I437" s="874"/>
      <c r="J437" s="874"/>
      <c r="K437" s="874"/>
      <c r="L437" s="874"/>
      <c r="M437" s="874"/>
      <c r="N437" s="874"/>
      <c r="O437" s="874"/>
      <c r="P437" s="874"/>
      <c r="Q437" s="874"/>
      <c r="R437" s="874"/>
      <c r="S437" s="874"/>
    </row>
    <row r="438" spans="1:19">
      <c r="A438" s="857" t="s">
        <v>2292</v>
      </c>
      <c r="B438" s="857" t="s">
        <v>2299</v>
      </c>
      <c r="C438" s="857"/>
      <c r="D438" s="874"/>
      <c r="E438" s="874"/>
      <c r="F438" s="874"/>
      <c r="G438" s="874"/>
      <c r="H438" s="874"/>
      <c r="I438" s="874"/>
      <c r="J438" s="874"/>
      <c r="K438" s="874"/>
      <c r="L438" s="874"/>
      <c r="M438" s="874"/>
      <c r="N438" s="874"/>
      <c r="O438" s="874"/>
      <c r="P438" s="874"/>
      <c r="Q438" s="874"/>
      <c r="R438" s="874"/>
      <c r="S438" s="874"/>
    </row>
    <row r="439" spans="1:19">
      <c r="A439" s="857" t="s">
        <v>2293</v>
      </c>
      <c r="B439" s="857" t="s">
        <v>2302</v>
      </c>
      <c r="C439" s="857"/>
      <c r="D439" s="874"/>
      <c r="E439" s="874"/>
      <c r="F439" s="874"/>
      <c r="G439" s="874"/>
      <c r="H439" s="874"/>
      <c r="I439" s="874"/>
      <c r="J439" s="874"/>
      <c r="K439" s="874"/>
      <c r="L439" s="874"/>
      <c r="M439" s="874"/>
      <c r="N439" s="874"/>
      <c r="O439" s="874"/>
      <c r="P439" s="874"/>
      <c r="Q439" s="874"/>
      <c r="R439" s="874"/>
      <c r="S439" s="874"/>
    </row>
    <row r="440" spans="1:19">
      <c r="A440" s="857" t="s">
        <v>2295</v>
      </c>
      <c r="B440" s="857" t="s">
        <v>2295</v>
      </c>
      <c r="C440" s="857"/>
      <c r="D440" s="874"/>
      <c r="E440" s="874"/>
      <c r="F440" s="874"/>
      <c r="G440" s="874"/>
      <c r="H440" s="874"/>
      <c r="I440" s="874"/>
      <c r="J440" s="874"/>
      <c r="K440" s="874"/>
      <c r="L440" s="874"/>
      <c r="M440" s="874"/>
      <c r="N440" s="874"/>
      <c r="O440" s="874"/>
      <c r="P440" s="874"/>
      <c r="Q440" s="874"/>
      <c r="R440" s="874"/>
      <c r="S440" s="874"/>
    </row>
    <row r="441" spans="1:19">
      <c r="A441" s="857"/>
      <c r="B441" s="857"/>
      <c r="C441" s="857"/>
      <c r="D441" s="874"/>
      <c r="E441" s="874"/>
      <c r="F441" s="874"/>
      <c r="G441" s="874"/>
      <c r="H441" s="874"/>
      <c r="I441" s="874"/>
      <c r="J441" s="874"/>
      <c r="K441" s="874"/>
      <c r="L441" s="874"/>
      <c r="M441" s="874"/>
      <c r="N441" s="874"/>
      <c r="O441" s="874"/>
      <c r="P441" s="874"/>
      <c r="Q441" s="874"/>
      <c r="R441" s="874"/>
      <c r="S441" s="874"/>
    </row>
    <row r="442" spans="1:19">
      <c r="A442" s="857"/>
      <c r="B442" s="857"/>
      <c r="C442" s="857"/>
      <c r="D442" s="874"/>
      <c r="E442" s="874"/>
      <c r="F442" s="874"/>
      <c r="G442" s="874"/>
      <c r="H442" s="874"/>
      <c r="I442" s="874"/>
      <c r="J442" s="874"/>
      <c r="K442" s="874"/>
      <c r="L442" s="874"/>
      <c r="M442" s="874"/>
      <c r="N442" s="874"/>
      <c r="O442" s="874"/>
      <c r="P442" s="874"/>
      <c r="Q442" s="874"/>
      <c r="R442" s="874"/>
      <c r="S442" s="874"/>
    </row>
    <row r="443" spans="1:19">
      <c r="A443" s="857"/>
      <c r="B443" s="857"/>
      <c r="C443" s="857"/>
      <c r="D443" s="874"/>
      <c r="E443" s="874"/>
      <c r="F443" s="874"/>
      <c r="G443" s="874"/>
      <c r="H443" s="874"/>
      <c r="I443" s="874"/>
      <c r="J443" s="874"/>
      <c r="K443" s="874"/>
      <c r="L443" s="874"/>
      <c r="M443" s="874"/>
      <c r="N443" s="874"/>
      <c r="O443" s="874"/>
      <c r="P443" s="874"/>
      <c r="Q443" s="874"/>
      <c r="R443" s="874"/>
      <c r="S443" s="874"/>
    </row>
    <row r="444" spans="1:19">
      <c r="A444" s="857"/>
      <c r="B444" s="857"/>
      <c r="C444" s="857"/>
      <c r="D444" s="874"/>
      <c r="E444" s="874"/>
      <c r="F444" s="874"/>
      <c r="G444" s="874"/>
      <c r="H444" s="874"/>
      <c r="I444" s="874"/>
      <c r="J444" s="874"/>
      <c r="K444" s="874"/>
      <c r="L444" s="874"/>
      <c r="M444" s="874"/>
      <c r="N444" s="874"/>
      <c r="O444" s="874"/>
      <c r="P444" s="874"/>
      <c r="Q444" s="874"/>
      <c r="R444" s="874"/>
      <c r="S444" s="874"/>
    </row>
    <row r="445" spans="1:19">
      <c r="A445" s="857"/>
      <c r="B445" s="857"/>
      <c r="C445" s="857"/>
      <c r="D445" s="874"/>
      <c r="E445" s="874"/>
      <c r="F445" s="874"/>
      <c r="G445" s="874"/>
      <c r="H445" s="874"/>
      <c r="I445" s="874"/>
      <c r="J445" s="874"/>
      <c r="K445" s="874"/>
      <c r="L445" s="874"/>
      <c r="M445" s="874"/>
      <c r="N445" s="874"/>
      <c r="O445" s="874"/>
      <c r="P445" s="874"/>
      <c r="Q445" s="874"/>
      <c r="R445" s="874"/>
      <c r="S445" s="874"/>
    </row>
    <row r="446" spans="1:19">
      <c r="A446" s="857"/>
      <c r="B446" s="857"/>
      <c r="C446" s="857"/>
      <c r="D446" s="874"/>
      <c r="E446" s="874"/>
      <c r="F446" s="874"/>
      <c r="G446" s="874"/>
      <c r="H446" s="874"/>
      <c r="I446" s="874"/>
      <c r="J446" s="874"/>
      <c r="K446" s="874"/>
      <c r="L446" s="874"/>
      <c r="M446" s="874"/>
      <c r="N446" s="874"/>
      <c r="O446" s="874"/>
      <c r="P446" s="874"/>
      <c r="Q446" s="874"/>
      <c r="R446" s="874"/>
      <c r="S446" s="874"/>
    </row>
    <row r="447" spans="1:19">
      <c r="A447" s="857"/>
      <c r="B447" s="857"/>
      <c r="C447" s="857"/>
      <c r="D447" s="874"/>
      <c r="E447" s="874"/>
      <c r="F447" s="874"/>
      <c r="G447" s="874"/>
      <c r="H447" s="874"/>
      <c r="I447" s="874"/>
      <c r="J447" s="874"/>
      <c r="K447" s="874"/>
      <c r="L447" s="874"/>
      <c r="M447" s="874"/>
      <c r="N447" s="874"/>
      <c r="O447" s="874"/>
      <c r="P447" s="874"/>
      <c r="Q447" s="874"/>
      <c r="R447" s="874"/>
      <c r="S447" s="874"/>
    </row>
    <row r="448" spans="1:19">
      <c r="A448" s="857"/>
      <c r="B448" s="857"/>
      <c r="C448" s="857"/>
      <c r="D448" s="874"/>
      <c r="E448" s="874"/>
      <c r="F448" s="874"/>
      <c r="G448" s="874"/>
      <c r="H448" s="874"/>
      <c r="I448" s="874"/>
      <c r="J448" s="874"/>
      <c r="K448" s="874"/>
      <c r="L448" s="874"/>
      <c r="M448" s="874"/>
      <c r="N448" s="874"/>
      <c r="O448" s="874"/>
      <c r="P448" s="874"/>
      <c r="Q448" s="874"/>
      <c r="R448" s="874"/>
      <c r="S448" s="874"/>
    </row>
    <row r="449" spans="1:19">
      <c r="A449" s="857"/>
      <c r="B449" s="857"/>
      <c r="C449" s="857"/>
      <c r="D449" s="874"/>
      <c r="E449" s="874"/>
      <c r="F449" s="874"/>
      <c r="G449" s="874"/>
      <c r="H449" s="874"/>
      <c r="I449" s="874"/>
      <c r="J449" s="874"/>
      <c r="K449" s="874"/>
      <c r="L449" s="874"/>
      <c r="M449" s="874"/>
      <c r="N449" s="874"/>
      <c r="O449" s="874"/>
      <c r="P449" s="874"/>
      <c r="Q449" s="874"/>
      <c r="R449" s="874"/>
      <c r="S449" s="874"/>
    </row>
    <row r="450" spans="1:19">
      <c r="A450" s="868" t="s">
        <v>511</v>
      </c>
      <c r="B450" s="866"/>
      <c r="C450" s="866"/>
      <c r="D450" s="874"/>
      <c r="E450" s="874"/>
      <c r="F450" s="874"/>
      <c r="G450" s="874"/>
      <c r="H450" s="874"/>
      <c r="I450" s="874"/>
      <c r="J450" s="874"/>
      <c r="K450" s="874"/>
      <c r="L450" s="874"/>
      <c r="M450" s="874"/>
      <c r="N450" s="874"/>
      <c r="O450" s="874"/>
      <c r="P450" s="874"/>
      <c r="Q450" s="874"/>
      <c r="R450" s="874"/>
      <c r="S450" s="874"/>
    </row>
    <row r="451" spans="1:19">
      <c r="A451" s="857"/>
      <c r="B451" s="857"/>
      <c r="C451" s="857"/>
      <c r="D451" s="874"/>
      <c r="E451" s="874"/>
      <c r="F451" s="874"/>
      <c r="G451" s="874"/>
      <c r="H451" s="874"/>
      <c r="I451" s="874"/>
      <c r="J451" s="874"/>
      <c r="K451" s="874"/>
      <c r="L451" s="874"/>
      <c r="M451" s="874"/>
      <c r="N451" s="874"/>
      <c r="O451" s="874"/>
      <c r="P451" s="874"/>
      <c r="Q451" s="874"/>
      <c r="R451" s="874"/>
      <c r="S451" s="874"/>
    </row>
    <row r="452" spans="1:19">
      <c r="A452" s="857" t="s">
        <v>1825</v>
      </c>
      <c r="B452" s="857"/>
      <c r="C452" s="857"/>
      <c r="D452" s="874"/>
      <c r="E452" s="874"/>
      <c r="F452" s="874"/>
      <c r="G452" s="874"/>
      <c r="H452" s="874"/>
      <c r="I452" s="874"/>
      <c r="J452" s="874"/>
      <c r="K452" s="874"/>
      <c r="L452" s="874"/>
      <c r="M452" s="874"/>
      <c r="N452" s="874"/>
      <c r="O452" s="874"/>
      <c r="P452" s="874"/>
      <c r="Q452" s="874"/>
      <c r="R452" s="874"/>
      <c r="S452" s="874"/>
    </row>
    <row r="453" spans="1:19">
      <c r="A453" s="857" t="s">
        <v>1826</v>
      </c>
      <c r="B453" s="857"/>
      <c r="C453" s="857"/>
      <c r="D453" s="874"/>
      <c r="E453" s="874"/>
      <c r="F453" s="874"/>
      <c r="G453" s="874"/>
      <c r="H453" s="874"/>
      <c r="I453" s="874"/>
      <c r="J453" s="874"/>
      <c r="K453" s="874"/>
      <c r="L453" s="874"/>
      <c r="M453" s="874"/>
      <c r="N453" s="874"/>
      <c r="O453" s="874"/>
      <c r="P453" s="874"/>
      <c r="Q453" s="874"/>
      <c r="R453" s="874"/>
      <c r="S453" s="874"/>
    </row>
    <row r="454" spans="1:19">
      <c r="A454" s="857"/>
      <c r="B454" s="857"/>
      <c r="C454" s="857"/>
      <c r="D454" s="874"/>
      <c r="E454" s="874"/>
      <c r="F454" s="874"/>
      <c r="G454" s="874"/>
      <c r="H454" s="874"/>
      <c r="I454" s="874"/>
      <c r="J454" s="874"/>
      <c r="K454" s="874"/>
      <c r="L454" s="874"/>
      <c r="M454" s="874"/>
      <c r="N454" s="874"/>
      <c r="O454" s="874"/>
      <c r="P454" s="874"/>
      <c r="Q454" s="874"/>
      <c r="R454" s="874"/>
      <c r="S454" s="874"/>
    </row>
    <row r="455" spans="1:19">
      <c r="A455" s="868" t="s">
        <v>1834</v>
      </c>
      <c r="B455" s="866"/>
      <c r="C455" s="866"/>
      <c r="D455" s="874"/>
      <c r="E455" s="874"/>
      <c r="F455" s="874"/>
      <c r="G455" s="874"/>
      <c r="H455" s="874"/>
      <c r="I455" s="874"/>
      <c r="J455" s="874"/>
      <c r="K455" s="874"/>
      <c r="L455" s="874"/>
      <c r="M455" s="874"/>
      <c r="N455" s="874"/>
      <c r="O455" s="874"/>
      <c r="P455" s="874"/>
      <c r="Q455" s="874"/>
      <c r="R455" s="874"/>
      <c r="S455" s="874"/>
    </row>
    <row r="456" spans="1:19">
      <c r="A456" s="857"/>
      <c r="B456" s="857"/>
      <c r="C456" s="857"/>
      <c r="D456" s="874"/>
      <c r="E456" s="874"/>
      <c r="F456" s="874"/>
      <c r="G456" s="874"/>
      <c r="H456" s="874"/>
      <c r="I456" s="874"/>
      <c r="J456" s="874"/>
      <c r="K456" s="874"/>
      <c r="L456" s="874"/>
      <c r="M456" s="874"/>
      <c r="N456" s="874"/>
      <c r="O456" s="874"/>
      <c r="P456" s="874"/>
      <c r="Q456" s="874"/>
      <c r="R456" s="874"/>
      <c r="S456" s="874"/>
    </row>
    <row r="457" spans="1:19">
      <c r="A457" s="857" t="s">
        <v>1833</v>
      </c>
      <c r="B457" s="857"/>
      <c r="C457" s="857"/>
      <c r="D457" s="874"/>
      <c r="E457" s="874"/>
      <c r="F457" s="874"/>
      <c r="G457" s="874"/>
      <c r="H457" s="874"/>
      <c r="I457" s="874"/>
      <c r="J457" s="874"/>
      <c r="K457" s="874"/>
      <c r="L457" s="874"/>
      <c r="M457" s="874"/>
      <c r="N457" s="874"/>
      <c r="O457" s="874"/>
      <c r="P457" s="874"/>
      <c r="Q457" s="874"/>
      <c r="R457" s="874"/>
      <c r="S457" s="874"/>
    </row>
    <row r="458" spans="1:19">
      <c r="A458" s="857" t="s">
        <v>1832</v>
      </c>
      <c r="B458" s="857"/>
      <c r="C458" s="857"/>
      <c r="D458" s="874"/>
      <c r="E458" s="874"/>
      <c r="F458" s="874"/>
      <c r="G458" s="874"/>
      <c r="H458" s="874"/>
      <c r="I458" s="874"/>
      <c r="J458" s="874"/>
      <c r="K458" s="874"/>
      <c r="L458" s="874"/>
      <c r="M458" s="874"/>
      <c r="N458" s="874"/>
      <c r="O458" s="874"/>
      <c r="P458" s="874"/>
      <c r="Q458" s="874"/>
      <c r="R458" s="874"/>
      <c r="S458" s="874"/>
    </row>
    <row r="459" spans="1:19">
      <c r="A459" s="857"/>
      <c r="B459" s="857"/>
      <c r="C459" s="857"/>
      <c r="D459" s="874"/>
      <c r="E459" s="874"/>
      <c r="F459" s="874"/>
      <c r="G459" s="874"/>
      <c r="H459" s="874"/>
      <c r="I459" s="874"/>
      <c r="J459" s="874"/>
      <c r="K459" s="874"/>
      <c r="L459" s="874"/>
      <c r="M459" s="874"/>
      <c r="N459" s="874"/>
      <c r="O459" s="874"/>
      <c r="P459" s="874"/>
      <c r="Q459" s="874"/>
      <c r="R459" s="874"/>
      <c r="S459" s="874"/>
    </row>
    <row r="460" spans="1:19">
      <c r="A460" s="868" t="s">
        <v>1835</v>
      </c>
      <c r="B460" s="866"/>
      <c r="C460" s="866"/>
      <c r="D460" s="874"/>
      <c r="E460" s="874"/>
      <c r="F460" s="874"/>
      <c r="G460" s="874"/>
      <c r="H460" s="874"/>
      <c r="I460" s="874"/>
      <c r="J460" s="874"/>
      <c r="K460" s="874"/>
      <c r="L460" s="874"/>
      <c r="M460" s="874"/>
      <c r="N460" s="874"/>
      <c r="O460" s="874"/>
      <c r="P460" s="874"/>
      <c r="Q460" s="874"/>
      <c r="R460" s="874"/>
      <c r="S460" s="874"/>
    </row>
    <row r="461" spans="1:19">
      <c r="A461" s="857"/>
      <c r="B461" s="857"/>
      <c r="C461" s="857"/>
      <c r="D461" s="874"/>
      <c r="E461" s="874"/>
      <c r="F461" s="874"/>
      <c r="G461" s="874"/>
      <c r="H461" s="874"/>
      <c r="I461" s="874"/>
      <c r="J461" s="874"/>
      <c r="K461" s="874"/>
      <c r="L461" s="874"/>
      <c r="M461" s="874"/>
      <c r="N461" s="874"/>
      <c r="O461" s="874"/>
      <c r="P461" s="874"/>
      <c r="Q461" s="874"/>
      <c r="R461" s="874"/>
      <c r="S461" s="874"/>
    </row>
    <row r="462" spans="1:19">
      <c r="A462" s="857" t="s">
        <v>1836</v>
      </c>
      <c r="B462" s="857"/>
      <c r="C462" s="857"/>
      <c r="D462" s="874"/>
      <c r="E462" s="874"/>
      <c r="F462" s="874"/>
      <c r="G462" s="874"/>
      <c r="H462" s="874"/>
      <c r="I462" s="874"/>
      <c r="J462" s="874"/>
      <c r="K462" s="874"/>
      <c r="L462" s="874"/>
      <c r="M462" s="874"/>
      <c r="N462" s="874"/>
      <c r="O462" s="874"/>
      <c r="P462" s="874"/>
      <c r="Q462" s="874"/>
      <c r="R462" s="874"/>
      <c r="S462" s="874"/>
    </row>
    <row r="463" spans="1:19">
      <c r="A463" s="857" t="s">
        <v>1832</v>
      </c>
      <c r="B463" s="857"/>
      <c r="C463" s="857"/>
      <c r="D463" s="874"/>
      <c r="E463" s="874"/>
      <c r="F463" s="874"/>
      <c r="G463" s="874"/>
      <c r="H463" s="874"/>
      <c r="I463" s="874"/>
      <c r="J463" s="874"/>
      <c r="K463" s="874"/>
      <c r="L463" s="874"/>
      <c r="M463" s="874"/>
      <c r="N463" s="874"/>
      <c r="O463" s="874"/>
      <c r="P463" s="874"/>
      <c r="Q463" s="874"/>
      <c r="R463" s="874"/>
      <c r="S463" s="874"/>
    </row>
    <row r="464" spans="1:19">
      <c r="A464" s="857"/>
      <c r="B464" s="857"/>
      <c r="C464" s="857"/>
      <c r="D464" s="874"/>
      <c r="E464" s="874"/>
      <c r="F464" s="874"/>
      <c r="G464" s="874"/>
      <c r="H464" s="874"/>
      <c r="I464" s="874"/>
      <c r="J464" s="874"/>
      <c r="K464" s="874"/>
      <c r="L464" s="874"/>
      <c r="M464" s="874"/>
      <c r="N464" s="874"/>
      <c r="O464" s="874"/>
      <c r="P464" s="874"/>
      <c r="Q464" s="874"/>
      <c r="R464" s="874"/>
      <c r="S464" s="874"/>
    </row>
    <row r="465" spans="1:19">
      <c r="A465" s="868" t="s">
        <v>1916</v>
      </c>
      <c r="B465" s="866"/>
      <c r="C465" s="866"/>
      <c r="D465" s="874"/>
      <c r="E465" s="874"/>
      <c r="F465" s="874"/>
      <c r="G465" s="874"/>
      <c r="H465" s="874"/>
      <c r="I465" s="874"/>
      <c r="J465" s="874"/>
      <c r="K465" s="874"/>
      <c r="L465" s="874"/>
      <c r="M465" s="874"/>
      <c r="N465" s="874"/>
      <c r="O465" s="874"/>
      <c r="P465" s="874"/>
      <c r="Q465" s="874"/>
      <c r="R465" s="874"/>
      <c r="S465" s="874"/>
    </row>
    <row r="466" spans="1:19">
      <c r="A466" s="857"/>
      <c r="B466" s="857"/>
      <c r="C466" s="857"/>
      <c r="D466" s="874"/>
      <c r="E466" s="874"/>
      <c r="F466" s="874"/>
      <c r="G466" s="874"/>
      <c r="H466" s="874"/>
      <c r="I466" s="874"/>
      <c r="J466" s="874"/>
      <c r="K466" s="874"/>
      <c r="L466" s="874"/>
      <c r="M466" s="874"/>
      <c r="N466" s="874"/>
      <c r="O466" s="874"/>
      <c r="P466" s="874"/>
      <c r="Q466" s="874"/>
      <c r="R466" s="874"/>
      <c r="S466" s="874"/>
    </row>
    <row r="467" spans="1:19">
      <c r="A467" s="857" t="s">
        <v>1918</v>
      </c>
      <c r="B467" s="857"/>
      <c r="C467" s="857"/>
      <c r="D467" s="874"/>
      <c r="E467" s="874"/>
      <c r="F467" s="874"/>
      <c r="G467" s="874"/>
      <c r="H467" s="874"/>
      <c r="I467" s="874"/>
      <c r="J467" s="874"/>
      <c r="K467" s="874"/>
      <c r="L467" s="874"/>
      <c r="M467" s="874"/>
      <c r="N467" s="874"/>
      <c r="O467" s="874"/>
      <c r="P467" s="874"/>
      <c r="Q467" s="874"/>
      <c r="R467" s="874"/>
      <c r="S467" s="874"/>
    </row>
    <row r="468" spans="1:19">
      <c r="A468" s="857" t="s">
        <v>1919</v>
      </c>
      <c r="B468" s="857"/>
      <c r="C468" s="857"/>
      <c r="D468" s="874"/>
      <c r="E468" s="874"/>
      <c r="F468" s="874"/>
      <c r="G468" s="874"/>
      <c r="H468" s="874"/>
      <c r="I468" s="874"/>
      <c r="J468" s="874"/>
      <c r="K468" s="874"/>
      <c r="L468" s="874"/>
      <c r="M468" s="874"/>
      <c r="N468" s="874"/>
      <c r="O468" s="874"/>
      <c r="P468" s="874"/>
      <c r="Q468" s="874"/>
      <c r="R468" s="874"/>
      <c r="S468" s="874"/>
    </row>
    <row r="469" spans="1:19">
      <c r="A469" s="857" t="s">
        <v>1921</v>
      </c>
      <c r="B469" s="857"/>
      <c r="C469" s="857"/>
      <c r="D469" s="874"/>
      <c r="E469" s="874"/>
      <c r="F469" s="874"/>
      <c r="G469" s="874"/>
      <c r="H469" s="874"/>
      <c r="I469" s="874"/>
      <c r="J469" s="874"/>
      <c r="K469" s="874"/>
      <c r="L469" s="874"/>
      <c r="M469" s="874"/>
      <c r="N469" s="874"/>
      <c r="O469" s="874"/>
      <c r="P469" s="874"/>
      <c r="Q469" s="874"/>
      <c r="R469" s="874"/>
      <c r="S469" s="874"/>
    </row>
    <row r="470" spans="1:19">
      <c r="A470" s="857" t="s">
        <v>1923</v>
      </c>
      <c r="B470" s="857"/>
      <c r="C470" s="857"/>
      <c r="D470" s="874"/>
      <c r="E470" s="874"/>
      <c r="F470" s="874"/>
      <c r="G470" s="874"/>
      <c r="H470" s="874"/>
      <c r="I470" s="874"/>
      <c r="J470" s="874"/>
      <c r="K470" s="874"/>
      <c r="L470" s="874"/>
      <c r="M470" s="874"/>
      <c r="N470" s="874"/>
      <c r="O470" s="874"/>
      <c r="P470" s="874"/>
      <c r="Q470" s="874"/>
      <c r="R470" s="874"/>
      <c r="S470" s="874"/>
    </row>
    <row r="471" spans="1:19">
      <c r="A471" s="857" t="s">
        <v>1924</v>
      </c>
      <c r="B471" s="857"/>
      <c r="C471" s="857"/>
      <c r="D471" s="874"/>
      <c r="E471" s="874"/>
      <c r="F471" s="874"/>
      <c r="G471" s="874"/>
      <c r="H471" s="874"/>
      <c r="I471" s="874"/>
      <c r="J471" s="874"/>
      <c r="K471" s="874"/>
      <c r="L471" s="874"/>
      <c r="M471" s="874"/>
      <c r="N471" s="874"/>
      <c r="O471" s="874"/>
      <c r="P471" s="874"/>
      <c r="Q471" s="874"/>
      <c r="R471" s="874"/>
      <c r="S471" s="874"/>
    </row>
    <row r="472" spans="1:19">
      <c r="A472" s="857"/>
      <c r="B472" s="857"/>
      <c r="C472" s="857"/>
      <c r="D472" s="874"/>
      <c r="E472" s="874"/>
      <c r="F472" s="874"/>
      <c r="G472" s="874"/>
      <c r="H472" s="874"/>
      <c r="I472" s="874"/>
      <c r="J472" s="874"/>
      <c r="K472" s="874"/>
      <c r="L472" s="874"/>
      <c r="M472" s="874"/>
      <c r="N472" s="874"/>
      <c r="O472" s="874"/>
      <c r="P472" s="874"/>
      <c r="Q472" s="874"/>
      <c r="R472" s="874"/>
      <c r="S472" s="874"/>
    </row>
    <row r="473" spans="1:19">
      <c r="A473" s="868" t="s">
        <v>1837</v>
      </c>
      <c r="B473" s="866"/>
      <c r="C473" s="866"/>
      <c r="D473" s="874"/>
      <c r="E473" s="874"/>
      <c r="F473" s="874"/>
      <c r="G473" s="874"/>
      <c r="H473" s="874"/>
      <c r="I473" s="874"/>
      <c r="J473" s="874"/>
      <c r="K473" s="874"/>
      <c r="L473" s="874"/>
      <c r="M473" s="874"/>
      <c r="N473" s="874"/>
      <c r="O473" s="874"/>
      <c r="P473" s="874"/>
      <c r="Q473" s="874"/>
      <c r="R473" s="874"/>
      <c r="S473" s="874"/>
    </row>
    <row r="474" spans="1:19">
      <c r="A474" s="857"/>
      <c r="B474" s="857"/>
      <c r="C474" s="857"/>
      <c r="D474" s="874"/>
      <c r="E474" s="874"/>
      <c r="F474" s="874"/>
      <c r="G474" s="874"/>
      <c r="H474" s="874"/>
      <c r="I474" s="874"/>
      <c r="J474" s="874"/>
      <c r="K474" s="874"/>
      <c r="L474" s="874"/>
      <c r="M474" s="874"/>
      <c r="N474" s="874"/>
      <c r="O474" s="874"/>
      <c r="P474" s="874"/>
      <c r="Q474" s="874"/>
      <c r="R474" s="874"/>
      <c r="S474" s="874"/>
    </row>
    <row r="475" spans="1:19">
      <c r="A475" s="857" t="s">
        <v>1838</v>
      </c>
      <c r="B475" s="857"/>
      <c r="C475" s="857"/>
      <c r="D475" s="874"/>
      <c r="E475" s="874"/>
      <c r="F475" s="874"/>
      <c r="G475" s="874"/>
      <c r="H475" s="874"/>
      <c r="I475" s="874"/>
      <c r="J475" s="874"/>
      <c r="K475" s="874"/>
      <c r="L475" s="874"/>
      <c r="M475" s="874"/>
      <c r="N475" s="874"/>
      <c r="O475" s="874"/>
      <c r="P475" s="874"/>
      <c r="Q475" s="874"/>
      <c r="R475" s="874"/>
      <c r="S475" s="874"/>
    </row>
    <row r="476" spans="1:19">
      <c r="A476" s="857" t="s">
        <v>1832</v>
      </c>
      <c r="B476" s="857"/>
      <c r="C476" s="857"/>
      <c r="D476" s="874"/>
      <c r="E476" s="874"/>
      <c r="F476" s="874"/>
      <c r="G476" s="874"/>
      <c r="H476" s="874"/>
      <c r="I476" s="874"/>
      <c r="J476" s="874"/>
      <c r="K476" s="874"/>
      <c r="L476" s="874"/>
      <c r="M476" s="874"/>
      <c r="N476" s="874"/>
      <c r="O476" s="874"/>
      <c r="P476" s="874"/>
      <c r="Q476" s="874"/>
      <c r="R476" s="874"/>
      <c r="S476" s="874"/>
    </row>
    <row r="477" spans="1:19">
      <c r="A477" s="857"/>
      <c r="B477" s="857"/>
      <c r="C477" s="857"/>
      <c r="D477" s="874"/>
      <c r="E477" s="874"/>
      <c r="F477" s="874"/>
      <c r="G477" s="874"/>
      <c r="H477" s="874"/>
      <c r="I477" s="874"/>
      <c r="J477" s="874"/>
      <c r="K477" s="874"/>
      <c r="L477" s="874"/>
      <c r="M477" s="874"/>
      <c r="N477" s="874"/>
      <c r="O477" s="874"/>
      <c r="P477" s="874"/>
      <c r="Q477" s="874"/>
      <c r="R477" s="874"/>
      <c r="S477" s="874"/>
    </row>
    <row r="478" spans="1:19">
      <c r="A478" s="857"/>
      <c r="B478" s="857"/>
      <c r="C478" s="857"/>
      <c r="D478" s="874"/>
      <c r="E478" s="874"/>
      <c r="F478" s="874"/>
      <c r="G478" s="874"/>
      <c r="H478" s="874"/>
      <c r="I478" s="874"/>
      <c r="J478" s="874"/>
      <c r="K478" s="874"/>
      <c r="L478" s="874"/>
      <c r="M478" s="874"/>
      <c r="N478" s="874"/>
      <c r="O478" s="874"/>
      <c r="P478" s="874"/>
      <c r="Q478" s="874"/>
      <c r="R478" s="874"/>
      <c r="S478" s="874"/>
    </row>
    <row r="479" spans="1:19">
      <c r="A479" s="868" t="s">
        <v>1887</v>
      </c>
      <c r="B479" s="866"/>
      <c r="C479" s="866"/>
      <c r="D479" s="874"/>
      <c r="E479" s="874"/>
      <c r="F479" s="874"/>
      <c r="G479" s="874"/>
      <c r="H479" s="874"/>
      <c r="I479" s="874"/>
      <c r="J479" s="874"/>
      <c r="K479" s="874"/>
      <c r="L479" s="874"/>
      <c r="M479" s="874"/>
      <c r="N479" s="874"/>
      <c r="O479" s="874"/>
      <c r="P479" s="874"/>
      <c r="Q479" s="874"/>
      <c r="R479" s="874"/>
      <c r="S479" s="874"/>
    </row>
    <row r="480" spans="1:19">
      <c r="A480" s="857"/>
      <c r="B480" s="857"/>
      <c r="C480" s="857"/>
      <c r="D480" s="874"/>
      <c r="E480" s="874"/>
      <c r="F480" s="874"/>
      <c r="G480" s="874"/>
      <c r="H480" s="874"/>
      <c r="I480" s="874"/>
      <c r="J480" s="874"/>
      <c r="K480" s="874"/>
      <c r="L480" s="874"/>
      <c r="M480" s="874"/>
      <c r="N480" s="874"/>
      <c r="O480" s="874"/>
      <c r="P480" s="874"/>
      <c r="Q480" s="874"/>
      <c r="R480" s="874"/>
      <c r="S480" s="874"/>
    </row>
    <row r="481" spans="1:19">
      <c r="A481" s="857" t="s">
        <v>1888</v>
      </c>
      <c r="B481" s="857"/>
      <c r="C481" s="857"/>
      <c r="D481" s="874"/>
      <c r="E481" s="874"/>
      <c r="F481" s="874"/>
      <c r="G481" s="874"/>
      <c r="H481" s="874"/>
      <c r="I481" s="874"/>
      <c r="J481" s="874"/>
      <c r="K481" s="874"/>
      <c r="L481" s="874"/>
      <c r="M481" s="874"/>
      <c r="N481" s="874"/>
      <c r="O481" s="874"/>
      <c r="P481" s="874"/>
      <c r="Q481" s="874"/>
      <c r="R481" s="874"/>
      <c r="S481" s="874"/>
    </row>
    <row r="482" spans="1:19">
      <c r="A482" s="857" t="s">
        <v>1889</v>
      </c>
      <c r="B482" s="857"/>
      <c r="C482" s="857"/>
      <c r="D482" s="874"/>
      <c r="E482" s="874"/>
      <c r="F482" s="874"/>
      <c r="G482" s="874"/>
      <c r="H482" s="874"/>
      <c r="I482" s="874"/>
      <c r="J482" s="874"/>
      <c r="K482" s="874"/>
      <c r="L482" s="874"/>
      <c r="M482" s="874"/>
      <c r="N482" s="874"/>
      <c r="O482" s="874"/>
      <c r="P482" s="874"/>
      <c r="Q482" s="874"/>
      <c r="R482" s="874"/>
      <c r="S482" s="874"/>
    </row>
    <row r="483" spans="1:19">
      <c r="A483" s="857" t="s">
        <v>1890</v>
      </c>
      <c r="B483" s="857"/>
      <c r="C483" s="857"/>
      <c r="D483" s="874"/>
      <c r="E483" s="874"/>
      <c r="F483" s="874"/>
      <c r="G483" s="874"/>
      <c r="H483" s="874"/>
      <c r="I483" s="874"/>
      <c r="J483" s="874"/>
      <c r="K483" s="874"/>
      <c r="L483" s="874"/>
      <c r="M483" s="874"/>
      <c r="N483" s="874"/>
      <c r="O483" s="874"/>
      <c r="P483" s="874"/>
      <c r="Q483" s="874"/>
      <c r="R483" s="874"/>
      <c r="S483" s="874"/>
    </row>
    <row r="484" spans="1:19">
      <c r="A484" s="857"/>
      <c r="B484" s="857"/>
      <c r="C484" s="857"/>
      <c r="D484" s="874"/>
      <c r="E484" s="874"/>
      <c r="F484" s="874"/>
      <c r="G484" s="874"/>
      <c r="H484" s="874"/>
      <c r="I484" s="874"/>
      <c r="J484" s="874"/>
      <c r="K484" s="874"/>
      <c r="L484" s="874"/>
      <c r="M484" s="874"/>
      <c r="N484" s="874"/>
      <c r="O484" s="874"/>
      <c r="P484" s="874"/>
      <c r="Q484" s="874"/>
      <c r="R484" s="874"/>
      <c r="S484" s="874"/>
    </row>
    <row r="485" spans="1:19">
      <c r="A485" s="868" t="s">
        <v>2096</v>
      </c>
      <c r="B485" s="866"/>
      <c r="C485" s="866"/>
      <c r="D485" s="874"/>
      <c r="E485" s="874"/>
      <c r="F485" s="874"/>
      <c r="G485" s="874"/>
      <c r="H485" s="874"/>
      <c r="I485" s="874"/>
      <c r="J485" s="874"/>
      <c r="K485" s="874"/>
      <c r="L485" s="874"/>
      <c r="M485" s="874"/>
      <c r="N485" s="874"/>
      <c r="O485" s="874"/>
      <c r="P485" s="874"/>
      <c r="Q485" s="874"/>
      <c r="R485" s="874"/>
      <c r="S485" s="874"/>
    </row>
    <row r="486" spans="1:19">
      <c r="A486" s="857"/>
      <c r="B486" s="857"/>
      <c r="C486" s="857"/>
      <c r="D486" s="874"/>
      <c r="E486" s="874"/>
      <c r="F486" s="874"/>
      <c r="G486" s="874"/>
      <c r="H486" s="874"/>
      <c r="I486" s="874"/>
      <c r="J486" s="874"/>
      <c r="K486" s="874"/>
      <c r="L486" s="874"/>
      <c r="M486" s="874"/>
      <c r="N486" s="874"/>
      <c r="O486" s="874"/>
      <c r="P486" s="874"/>
      <c r="Q486" s="874"/>
      <c r="R486" s="874"/>
      <c r="S486" s="874"/>
    </row>
    <row r="487" spans="1:19">
      <c r="A487" s="857" t="s">
        <v>1888</v>
      </c>
      <c r="B487" s="857"/>
      <c r="C487" s="857"/>
      <c r="D487" s="874"/>
      <c r="E487" s="874"/>
      <c r="F487" s="874"/>
      <c r="G487" s="874"/>
      <c r="H487" s="874"/>
      <c r="I487" s="874"/>
      <c r="J487" s="874"/>
      <c r="K487" s="874"/>
      <c r="L487" s="874"/>
      <c r="M487" s="874"/>
      <c r="N487" s="874"/>
      <c r="O487" s="874"/>
      <c r="P487" s="874"/>
      <c r="Q487" s="874"/>
      <c r="R487" s="874"/>
      <c r="S487" s="874"/>
    </row>
    <row r="488" spans="1:19">
      <c r="A488" s="857" t="s">
        <v>1832</v>
      </c>
      <c r="B488" s="857"/>
      <c r="C488" s="857"/>
      <c r="D488" s="874"/>
      <c r="E488" s="874"/>
      <c r="F488" s="874"/>
      <c r="G488" s="874"/>
      <c r="H488" s="874"/>
      <c r="I488" s="874"/>
      <c r="J488" s="874"/>
      <c r="K488" s="874"/>
      <c r="L488" s="874"/>
      <c r="M488" s="874"/>
      <c r="N488" s="874"/>
      <c r="O488" s="874"/>
      <c r="P488" s="874"/>
      <c r="Q488" s="874"/>
      <c r="R488" s="874"/>
      <c r="S488" s="874"/>
    </row>
    <row r="489" spans="1:19">
      <c r="A489" s="857"/>
      <c r="B489" s="857"/>
      <c r="C489" s="857"/>
      <c r="D489" s="874"/>
      <c r="E489" s="874"/>
      <c r="F489" s="874"/>
      <c r="G489" s="874"/>
      <c r="H489" s="874"/>
      <c r="I489" s="874"/>
      <c r="J489" s="874"/>
      <c r="K489" s="874"/>
      <c r="L489" s="874"/>
      <c r="M489" s="874"/>
      <c r="N489" s="874"/>
      <c r="O489" s="874"/>
      <c r="P489" s="874"/>
      <c r="Q489" s="874"/>
      <c r="R489" s="874"/>
      <c r="S489" s="874"/>
    </row>
    <row r="490" spans="1:19">
      <c r="A490" s="868" t="s">
        <v>2315</v>
      </c>
      <c r="B490" s="866"/>
      <c r="C490" s="866"/>
      <c r="D490" s="874"/>
      <c r="E490" s="874"/>
      <c r="F490" s="874"/>
      <c r="G490" s="874"/>
      <c r="H490" s="874"/>
      <c r="I490" s="874"/>
      <c r="J490" s="874"/>
      <c r="K490" s="874"/>
      <c r="L490" s="874"/>
      <c r="M490" s="874"/>
      <c r="N490" s="874"/>
      <c r="O490" s="874"/>
      <c r="P490" s="874"/>
      <c r="Q490" s="874"/>
      <c r="R490" s="874"/>
      <c r="S490" s="874"/>
    </row>
    <row r="491" spans="1:19">
      <c r="A491" s="857"/>
      <c r="B491" s="857"/>
      <c r="C491" s="857"/>
      <c r="D491" s="874"/>
      <c r="E491" s="874"/>
      <c r="F491" s="874"/>
      <c r="G491" s="874"/>
      <c r="H491" s="874"/>
      <c r="I491" s="874"/>
      <c r="J491" s="874"/>
      <c r="K491" s="874"/>
      <c r="L491" s="874"/>
      <c r="M491" s="874"/>
      <c r="N491" s="874"/>
      <c r="O491" s="874"/>
      <c r="P491" s="874"/>
      <c r="Q491" s="874"/>
      <c r="R491" s="874"/>
      <c r="S491" s="874"/>
    </row>
    <row r="492" spans="1:19">
      <c r="A492" s="857" t="s">
        <v>2316</v>
      </c>
      <c r="B492" s="857"/>
      <c r="C492" s="857"/>
      <c r="D492" s="874"/>
      <c r="E492" s="874"/>
      <c r="F492" s="874"/>
      <c r="G492" s="874"/>
      <c r="H492" s="874"/>
      <c r="I492" s="874"/>
      <c r="J492" s="874"/>
      <c r="K492" s="874"/>
      <c r="L492" s="874"/>
      <c r="M492" s="874"/>
      <c r="N492" s="874"/>
      <c r="O492" s="874"/>
      <c r="P492" s="874"/>
      <c r="Q492" s="874"/>
      <c r="R492" s="874"/>
      <c r="S492" s="874"/>
    </row>
    <row r="493" spans="1:19">
      <c r="A493" s="857" t="s">
        <v>1832</v>
      </c>
      <c r="B493" s="857"/>
      <c r="C493" s="857"/>
      <c r="D493" s="874"/>
      <c r="E493" s="874"/>
      <c r="F493" s="874"/>
      <c r="G493" s="874"/>
      <c r="H493" s="874"/>
      <c r="I493" s="874"/>
      <c r="J493" s="874"/>
      <c r="K493" s="874"/>
      <c r="L493" s="874"/>
      <c r="M493" s="874"/>
      <c r="N493" s="874"/>
      <c r="O493" s="874"/>
      <c r="P493" s="874"/>
      <c r="Q493" s="874"/>
      <c r="R493" s="874"/>
      <c r="S493" s="874"/>
    </row>
    <row r="494" spans="1:19">
      <c r="A494" s="857"/>
      <c r="B494" s="857"/>
      <c r="C494" s="857"/>
      <c r="D494" s="874"/>
      <c r="E494" s="874"/>
      <c r="F494" s="874"/>
      <c r="G494" s="874"/>
      <c r="H494" s="874"/>
      <c r="I494" s="874"/>
      <c r="J494" s="874"/>
      <c r="K494" s="874"/>
      <c r="L494" s="874"/>
      <c r="M494" s="874"/>
      <c r="N494" s="874"/>
      <c r="O494" s="874"/>
      <c r="P494" s="874"/>
      <c r="Q494" s="874"/>
      <c r="R494" s="874"/>
      <c r="S494" s="874"/>
    </row>
    <row r="495" spans="1:19">
      <c r="A495" s="857"/>
      <c r="B495" s="857"/>
      <c r="C495" s="857"/>
      <c r="D495" s="874"/>
      <c r="E495" s="874"/>
      <c r="F495" s="874"/>
      <c r="G495" s="874"/>
      <c r="H495" s="874"/>
      <c r="I495" s="874"/>
      <c r="J495" s="874"/>
      <c r="K495" s="874"/>
      <c r="L495" s="874"/>
      <c r="M495" s="874"/>
      <c r="N495" s="874"/>
      <c r="O495" s="874"/>
      <c r="P495" s="874"/>
      <c r="Q495" s="874"/>
      <c r="R495" s="874"/>
      <c r="S495" s="874"/>
    </row>
    <row r="496" spans="1:19">
      <c r="A496" s="868" t="s">
        <v>1603</v>
      </c>
      <c r="B496" s="866"/>
      <c r="C496" s="866"/>
      <c r="D496" s="861"/>
      <c r="E496" s="861"/>
      <c r="F496" s="861"/>
      <c r="G496" s="861"/>
      <c r="H496" s="874"/>
      <c r="I496" s="874"/>
      <c r="J496" s="874"/>
      <c r="K496" s="874"/>
      <c r="L496" s="874"/>
      <c r="M496" s="874"/>
      <c r="N496" s="874"/>
      <c r="O496" s="874"/>
      <c r="P496" s="874"/>
      <c r="Q496" s="874"/>
      <c r="R496" s="874"/>
      <c r="S496" s="874"/>
    </row>
    <row r="497" spans="1:19">
      <c r="A497" s="863"/>
      <c r="B497" s="857"/>
      <c r="C497" s="857"/>
      <c r="D497" s="861"/>
      <c r="E497" s="861"/>
      <c r="F497" s="861"/>
      <c r="G497" s="861"/>
      <c r="H497" s="874"/>
      <c r="I497" s="874"/>
      <c r="J497" s="874"/>
      <c r="K497" s="874"/>
      <c r="L497" s="874"/>
      <c r="M497" s="874"/>
      <c r="N497" s="874"/>
      <c r="O497" s="874"/>
      <c r="P497" s="874"/>
      <c r="Q497" s="874"/>
      <c r="R497" s="874"/>
      <c r="S497" s="874"/>
    </row>
    <row r="498" spans="1:19">
      <c r="A498" s="1250">
        <v>2</v>
      </c>
      <c r="B498" s="857"/>
      <c r="C498" s="857"/>
      <c r="D498" s="861"/>
      <c r="E498" s="861"/>
      <c r="F498" s="861"/>
      <c r="G498" s="861"/>
      <c r="H498" s="874"/>
      <c r="I498" s="874"/>
      <c r="J498" s="874"/>
      <c r="K498" s="874"/>
      <c r="L498" s="874"/>
      <c r="M498" s="874"/>
      <c r="N498" s="874"/>
      <c r="O498" s="874"/>
      <c r="P498" s="874"/>
      <c r="Q498" s="874"/>
      <c r="R498" s="874"/>
      <c r="S498" s="874"/>
    </row>
    <row r="499" spans="1:19">
      <c r="A499" s="1250">
        <v>1.5</v>
      </c>
      <c r="B499" s="857"/>
      <c r="C499" s="857"/>
      <c r="D499" s="861"/>
      <c r="E499" s="861"/>
      <c r="F499" s="861"/>
      <c r="G499" s="861"/>
      <c r="H499" s="874"/>
      <c r="I499" s="874"/>
      <c r="J499" s="874"/>
      <c r="K499" s="874"/>
      <c r="L499" s="874"/>
      <c r="M499" s="874"/>
      <c r="N499" s="874"/>
      <c r="O499" s="874"/>
      <c r="P499" s="874"/>
      <c r="Q499" s="874"/>
      <c r="R499" s="874"/>
      <c r="S499" s="874"/>
    </row>
    <row r="500" spans="1:19">
      <c r="A500" s="1250">
        <v>1.3</v>
      </c>
      <c r="B500" s="857"/>
      <c r="C500" s="857"/>
      <c r="D500" s="861"/>
      <c r="E500" s="861"/>
      <c r="F500" s="861"/>
      <c r="G500" s="861"/>
      <c r="H500" s="874"/>
      <c r="I500" s="874"/>
      <c r="J500" s="874"/>
      <c r="K500" s="874"/>
      <c r="L500" s="874"/>
      <c r="M500" s="874"/>
      <c r="N500" s="874"/>
      <c r="O500" s="874"/>
      <c r="P500" s="874"/>
      <c r="Q500" s="874"/>
      <c r="R500" s="874"/>
      <c r="S500" s="874"/>
    </row>
    <row r="501" spans="1:19">
      <c r="A501" s="857"/>
      <c r="B501" s="857"/>
      <c r="C501" s="857"/>
      <c r="D501" s="861"/>
      <c r="E501" s="861"/>
      <c r="F501" s="861"/>
      <c r="G501" s="861"/>
      <c r="H501" s="874"/>
      <c r="I501" s="874"/>
      <c r="J501" s="874"/>
      <c r="K501" s="874"/>
      <c r="L501" s="874"/>
      <c r="M501" s="874"/>
      <c r="N501" s="874"/>
      <c r="O501" s="874"/>
      <c r="P501" s="874"/>
      <c r="Q501" s="874"/>
      <c r="R501" s="874"/>
      <c r="S501" s="874"/>
    </row>
    <row r="502" spans="1:19">
      <c r="A502" s="868" t="s">
        <v>837</v>
      </c>
      <c r="B502" s="866"/>
      <c r="C502" s="866"/>
      <c r="D502" s="874"/>
      <c r="E502" s="874"/>
      <c r="F502" s="874"/>
      <c r="G502" s="874"/>
      <c r="H502" s="874"/>
      <c r="I502" s="874"/>
      <c r="J502" s="874"/>
      <c r="K502" s="874"/>
      <c r="L502" s="874"/>
      <c r="M502" s="874"/>
      <c r="N502" s="874"/>
      <c r="O502" s="874"/>
      <c r="P502" s="874"/>
      <c r="Q502" s="874"/>
      <c r="R502" s="874"/>
      <c r="S502" s="874"/>
    </row>
    <row r="503" spans="1:19">
      <c r="A503" s="876"/>
      <c r="B503" s="857"/>
      <c r="C503" s="857"/>
      <c r="D503" s="874"/>
      <c r="E503" s="874"/>
      <c r="F503" s="874"/>
      <c r="G503" s="874"/>
      <c r="H503" s="874"/>
      <c r="I503" s="874"/>
      <c r="J503" s="874"/>
      <c r="K503" s="874"/>
      <c r="L503" s="874"/>
      <c r="M503" s="874"/>
      <c r="N503" s="874"/>
      <c r="O503" s="874"/>
      <c r="P503" s="874"/>
      <c r="Q503" s="874"/>
      <c r="R503" s="874"/>
      <c r="S503" s="874"/>
    </row>
    <row r="504" spans="1:19">
      <c r="A504" s="876" t="s">
        <v>1221</v>
      </c>
      <c r="B504" s="857"/>
      <c r="C504" s="857"/>
      <c r="D504" s="874"/>
      <c r="E504" s="874"/>
      <c r="F504" s="874"/>
      <c r="G504" s="874"/>
      <c r="H504" s="874"/>
      <c r="I504" s="874"/>
      <c r="J504" s="874"/>
      <c r="K504" s="874"/>
      <c r="L504" s="874"/>
      <c r="M504" s="874"/>
      <c r="N504" s="874"/>
      <c r="O504" s="874"/>
      <c r="P504" s="874"/>
      <c r="Q504" s="874"/>
      <c r="R504" s="874"/>
      <c r="S504" s="874"/>
    </row>
    <row r="505" spans="1:19">
      <c r="A505" s="876" t="s">
        <v>1222</v>
      </c>
      <c r="B505" s="857"/>
      <c r="C505" s="857"/>
      <c r="D505" s="874"/>
      <c r="E505" s="874"/>
      <c r="F505" s="874"/>
      <c r="G505" s="874"/>
      <c r="H505" s="874"/>
      <c r="I505" s="874"/>
      <c r="J505" s="874"/>
      <c r="K505" s="874"/>
      <c r="L505" s="874"/>
      <c r="M505" s="874"/>
      <c r="N505" s="874"/>
      <c r="O505" s="874"/>
      <c r="P505" s="874"/>
      <c r="Q505" s="874"/>
      <c r="R505" s="874"/>
      <c r="S505" s="874"/>
    </row>
    <row r="506" spans="1:19">
      <c r="A506" s="876" t="s">
        <v>1223</v>
      </c>
      <c r="B506" s="857"/>
      <c r="C506" s="857"/>
      <c r="D506" s="874"/>
      <c r="E506" s="874"/>
      <c r="F506" s="874"/>
      <c r="G506" s="874"/>
      <c r="H506" s="874"/>
      <c r="I506" s="874"/>
      <c r="J506" s="874"/>
      <c r="K506" s="874"/>
      <c r="L506" s="874"/>
      <c r="M506" s="874"/>
      <c r="N506" s="874"/>
      <c r="O506" s="874"/>
      <c r="P506" s="874"/>
      <c r="Q506" s="874"/>
      <c r="R506" s="874"/>
      <c r="S506" s="874"/>
    </row>
    <row r="507" spans="1:19">
      <c r="A507" s="876" t="s">
        <v>1224</v>
      </c>
      <c r="B507" s="857"/>
      <c r="C507" s="857"/>
      <c r="D507" s="871"/>
      <c r="E507" s="871"/>
      <c r="F507" s="874"/>
      <c r="G507" s="874"/>
      <c r="H507" s="874"/>
      <c r="I507" s="874"/>
      <c r="J507" s="874"/>
      <c r="K507" s="874"/>
      <c r="L507" s="874"/>
      <c r="M507" s="874"/>
      <c r="N507" s="874"/>
      <c r="O507" s="874"/>
      <c r="P507" s="874"/>
      <c r="Q507" s="874"/>
      <c r="R507" s="874"/>
      <c r="S507" s="874"/>
    </row>
    <row r="508" spans="1:19">
      <c r="A508" s="876" t="s">
        <v>1225</v>
      </c>
      <c r="B508" s="857"/>
      <c r="C508" s="857"/>
      <c r="D508" s="871"/>
      <c r="E508" s="871"/>
      <c r="F508" s="874"/>
      <c r="G508" s="874"/>
      <c r="H508" s="874"/>
      <c r="I508" s="874"/>
      <c r="J508" s="874"/>
      <c r="K508" s="874"/>
      <c r="L508" s="874"/>
      <c r="M508" s="874"/>
      <c r="N508" s="874"/>
      <c r="O508" s="874"/>
      <c r="P508" s="874"/>
      <c r="Q508" s="874"/>
      <c r="R508" s="874"/>
      <c r="S508" s="874"/>
    </row>
    <row r="509" spans="1:19">
      <c r="A509" s="876" t="s">
        <v>1226</v>
      </c>
      <c r="B509" s="857"/>
      <c r="C509" s="857"/>
      <c r="D509" s="871"/>
      <c r="E509" s="871"/>
      <c r="F509" s="874"/>
      <c r="G509" s="874"/>
      <c r="H509" s="874"/>
      <c r="I509" s="874"/>
      <c r="J509" s="874"/>
      <c r="K509" s="874"/>
      <c r="L509" s="874"/>
      <c r="M509" s="874"/>
      <c r="N509" s="874"/>
      <c r="O509" s="874"/>
      <c r="P509" s="874"/>
      <c r="Q509" s="874"/>
      <c r="R509" s="874"/>
      <c r="S509" s="874"/>
    </row>
    <row r="510" spans="1:19">
      <c r="A510" s="876" t="s">
        <v>1227</v>
      </c>
      <c r="B510" s="857"/>
      <c r="C510" s="857"/>
      <c r="D510" s="871"/>
      <c r="E510" s="871"/>
      <c r="F510" s="874"/>
      <c r="G510" s="874"/>
      <c r="H510" s="874"/>
      <c r="I510" s="874"/>
      <c r="J510" s="874"/>
      <c r="K510" s="874"/>
      <c r="L510" s="874"/>
      <c r="M510" s="874"/>
      <c r="N510" s="874"/>
      <c r="O510" s="874"/>
      <c r="P510" s="874"/>
      <c r="Q510" s="874"/>
      <c r="R510" s="874"/>
      <c r="S510" s="874"/>
    </row>
    <row r="511" spans="1:19">
      <c r="A511" s="857"/>
      <c r="B511" s="857"/>
      <c r="C511" s="857"/>
      <c r="D511" s="871"/>
      <c r="E511" s="871"/>
      <c r="F511" s="874"/>
      <c r="G511" s="874"/>
      <c r="H511" s="874"/>
      <c r="I511" s="874"/>
      <c r="J511" s="874"/>
      <c r="K511" s="874"/>
      <c r="L511" s="874"/>
      <c r="M511" s="874"/>
      <c r="N511" s="874"/>
      <c r="O511" s="874"/>
      <c r="P511" s="874"/>
      <c r="Q511" s="874"/>
      <c r="R511" s="874"/>
      <c r="S511" s="874"/>
    </row>
    <row r="512" spans="1:19">
      <c r="A512" s="868" t="s">
        <v>1672</v>
      </c>
      <c r="B512" s="866"/>
      <c r="C512" s="866"/>
      <c r="D512" s="1398"/>
      <c r="E512" s="1398"/>
      <c r="F512" s="874"/>
      <c r="G512" s="874"/>
      <c r="H512" s="874"/>
      <c r="I512" s="874"/>
      <c r="J512" s="874"/>
      <c r="K512" s="874"/>
      <c r="L512" s="874"/>
      <c r="M512" s="874"/>
      <c r="N512" s="874"/>
      <c r="O512" s="874"/>
      <c r="P512" s="874"/>
      <c r="Q512" s="874"/>
      <c r="R512" s="874"/>
      <c r="S512" s="874"/>
    </row>
    <row r="513" spans="1:19">
      <c r="A513" s="1066"/>
      <c r="B513" s="857"/>
      <c r="C513" s="1399"/>
      <c r="D513" s="1398"/>
      <c r="E513" s="1398"/>
      <c r="F513" s="874"/>
      <c r="G513" s="874"/>
      <c r="H513" s="874"/>
      <c r="I513" s="874"/>
      <c r="J513" s="874"/>
      <c r="K513" s="874"/>
      <c r="L513" s="874"/>
      <c r="M513" s="874"/>
      <c r="N513" s="874"/>
      <c r="O513" s="874"/>
      <c r="P513" s="874"/>
      <c r="Q513" s="874"/>
      <c r="R513" s="874"/>
      <c r="S513" s="874"/>
    </row>
    <row r="514" spans="1:19">
      <c r="A514" s="876" t="s">
        <v>2060</v>
      </c>
      <c r="B514" s="857"/>
      <c r="C514" s="1399"/>
      <c r="D514" s="1398"/>
      <c r="E514" s="1398"/>
      <c r="F514" s="874"/>
      <c r="G514" s="874"/>
      <c r="H514" s="874"/>
      <c r="I514" s="874"/>
      <c r="J514" s="874"/>
      <c r="K514" s="874"/>
      <c r="L514" s="874"/>
      <c r="M514" s="874"/>
      <c r="N514" s="874"/>
      <c r="O514" s="874"/>
      <c r="P514" s="874"/>
      <c r="Q514" s="874"/>
      <c r="R514" s="874"/>
      <c r="S514" s="874"/>
    </row>
    <row r="515" spans="1:19">
      <c r="A515" s="876" t="s">
        <v>2059</v>
      </c>
      <c r="B515" s="857"/>
      <c r="C515" s="1399"/>
      <c r="D515" s="1398"/>
      <c r="E515" s="1398"/>
      <c r="F515" s="874"/>
      <c r="G515" s="874"/>
      <c r="H515" s="874"/>
      <c r="I515" s="874"/>
      <c r="J515" s="874"/>
      <c r="K515" s="874"/>
      <c r="L515" s="874"/>
      <c r="M515" s="874"/>
      <c r="N515" s="874"/>
      <c r="O515" s="874"/>
      <c r="P515" s="874"/>
      <c r="Q515" s="874"/>
      <c r="R515" s="874"/>
      <c r="S515" s="874"/>
    </row>
    <row r="516" spans="1:19">
      <c r="A516" s="876"/>
      <c r="B516" s="857"/>
      <c r="C516" s="1399"/>
      <c r="D516" s="1398"/>
      <c r="E516" s="1398"/>
      <c r="F516" s="874"/>
      <c r="G516" s="874"/>
      <c r="H516" s="874"/>
      <c r="I516" s="874"/>
      <c r="J516" s="874"/>
      <c r="K516" s="874"/>
      <c r="L516" s="874"/>
      <c r="M516" s="874"/>
      <c r="N516" s="874"/>
      <c r="O516" s="874"/>
      <c r="P516" s="874"/>
      <c r="Q516" s="874"/>
      <c r="R516" s="874"/>
      <c r="S516" s="874"/>
    </row>
    <row r="517" spans="1:19">
      <c r="A517" s="868" t="s">
        <v>2091</v>
      </c>
      <c r="B517" s="866"/>
      <c r="C517" s="866"/>
      <c r="D517" s="1398"/>
      <c r="E517" s="1398"/>
      <c r="F517" s="874"/>
      <c r="G517" s="874"/>
      <c r="H517" s="874"/>
      <c r="I517" s="874"/>
      <c r="J517" s="874"/>
      <c r="K517" s="874"/>
      <c r="L517" s="874"/>
      <c r="M517" s="874"/>
      <c r="N517" s="874"/>
      <c r="O517" s="874"/>
      <c r="P517" s="874"/>
      <c r="Q517" s="874"/>
      <c r="R517" s="874"/>
      <c r="S517" s="874"/>
    </row>
    <row r="518" spans="1:19">
      <c r="A518" s="1066"/>
      <c r="B518" s="857"/>
      <c r="C518" s="1399"/>
      <c r="D518" s="1398"/>
      <c r="E518" s="1398"/>
      <c r="F518" s="874"/>
      <c r="G518" s="874"/>
      <c r="H518" s="874"/>
      <c r="I518" s="874"/>
      <c r="J518" s="874"/>
      <c r="K518" s="874"/>
      <c r="L518" s="874"/>
      <c r="M518" s="874"/>
      <c r="N518" s="874"/>
      <c r="O518" s="874"/>
      <c r="P518" s="874"/>
      <c r="Q518" s="874"/>
      <c r="R518" s="874"/>
      <c r="S518" s="874"/>
    </row>
    <row r="519" spans="1:19">
      <c r="A519" s="876" t="s">
        <v>2092</v>
      </c>
      <c r="B519" s="857"/>
      <c r="C519" s="1399"/>
      <c r="D519" s="1398"/>
      <c r="E519" s="1398"/>
      <c r="F519" s="874"/>
      <c r="G519" s="874"/>
      <c r="H519" s="874"/>
      <c r="I519" s="874"/>
      <c r="J519" s="874"/>
      <c r="K519" s="874"/>
      <c r="L519" s="874"/>
      <c r="M519" s="874"/>
      <c r="N519" s="874"/>
      <c r="O519" s="874"/>
      <c r="P519" s="874"/>
      <c r="Q519" s="874"/>
      <c r="R519" s="874"/>
      <c r="S519" s="874"/>
    </row>
    <row r="520" spans="1:19">
      <c r="A520" s="876" t="s">
        <v>2093</v>
      </c>
      <c r="B520" s="857"/>
      <c r="C520" s="1399"/>
      <c r="D520" s="1398"/>
      <c r="E520" s="1398"/>
      <c r="F520" s="874"/>
      <c r="G520" s="874"/>
      <c r="H520" s="874"/>
      <c r="I520" s="874"/>
      <c r="J520" s="874"/>
      <c r="K520" s="874"/>
      <c r="L520" s="874"/>
      <c r="M520" s="874"/>
      <c r="N520" s="874"/>
      <c r="O520" s="874"/>
      <c r="P520" s="874"/>
      <c r="Q520" s="874"/>
      <c r="R520" s="874"/>
      <c r="S520" s="874"/>
    </row>
    <row r="521" spans="1:19">
      <c r="A521" s="876"/>
      <c r="B521" s="857"/>
      <c r="C521" s="1399"/>
      <c r="D521" s="1398"/>
      <c r="E521" s="1398"/>
      <c r="F521" s="874"/>
      <c r="G521" s="874"/>
      <c r="H521" s="874"/>
      <c r="I521" s="874"/>
      <c r="J521" s="874"/>
      <c r="K521" s="874"/>
      <c r="L521" s="874"/>
      <c r="M521" s="874"/>
      <c r="N521" s="874"/>
      <c r="O521" s="874"/>
      <c r="P521" s="874"/>
      <c r="Q521" s="874"/>
      <c r="R521" s="874"/>
      <c r="S521" s="874"/>
    </row>
    <row r="522" spans="1:19">
      <c r="A522" s="876"/>
      <c r="B522" s="857"/>
      <c r="C522" s="1399"/>
      <c r="D522" s="1398"/>
      <c r="E522" s="1398"/>
      <c r="F522" s="874"/>
      <c r="G522" s="874"/>
      <c r="H522" s="874"/>
      <c r="I522" s="874"/>
      <c r="J522" s="874"/>
      <c r="K522" s="874"/>
      <c r="L522" s="874"/>
      <c r="M522" s="874"/>
      <c r="N522" s="874"/>
      <c r="O522" s="874"/>
      <c r="P522" s="874"/>
      <c r="Q522" s="874"/>
      <c r="R522" s="874"/>
      <c r="S522" s="874"/>
    </row>
    <row r="523" spans="1:19">
      <c r="A523" s="1119"/>
      <c r="B523" s="857"/>
      <c r="C523" s="1399"/>
      <c r="D523" s="1398"/>
      <c r="E523" s="1398"/>
      <c r="F523" s="874"/>
      <c r="G523" s="874"/>
      <c r="H523" s="874"/>
      <c r="I523" s="874"/>
      <c r="J523" s="874"/>
      <c r="K523" s="874"/>
      <c r="L523" s="874"/>
      <c r="M523" s="874"/>
      <c r="N523" s="874"/>
      <c r="O523" s="874"/>
      <c r="P523" s="874"/>
      <c r="Q523" s="874"/>
      <c r="R523" s="874"/>
      <c r="S523" s="874"/>
    </row>
    <row r="524" spans="1:19">
      <c r="A524" s="868" t="s">
        <v>853</v>
      </c>
      <c r="B524" s="866"/>
      <c r="C524" s="866"/>
      <c r="D524" s="871"/>
      <c r="E524" s="871"/>
      <c r="F524" s="874"/>
      <c r="G524" s="874"/>
      <c r="H524" s="874"/>
      <c r="I524" s="874"/>
      <c r="J524" s="874"/>
      <c r="K524" s="874"/>
      <c r="L524" s="874"/>
      <c r="M524" s="874"/>
      <c r="N524" s="874"/>
      <c r="O524" s="874"/>
      <c r="P524" s="874"/>
      <c r="Q524" s="874"/>
      <c r="R524" s="874"/>
      <c r="S524" s="874"/>
    </row>
    <row r="525" spans="1:19">
      <c r="A525" s="857"/>
      <c r="B525" s="857"/>
      <c r="C525" s="857"/>
      <c r="D525" s="871"/>
      <c r="E525" s="871"/>
      <c r="F525" s="874"/>
      <c r="G525" s="874"/>
      <c r="H525" s="874"/>
      <c r="I525" s="874"/>
      <c r="J525" s="874"/>
      <c r="K525" s="874"/>
      <c r="L525" s="874"/>
      <c r="M525" s="874"/>
      <c r="N525" s="874"/>
      <c r="O525" s="874"/>
      <c r="P525" s="874"/>
      <c r="Q525" s="874"/>
      <c r="R525" s="874"/>
      <c r="S525" s="874"/>
    </row>
    <row r="526" spans="1:19">
      <c r="A526" s="857" t="s">
        <v>288</v>
      </c>
      <c r="B526" s="857"/>
      <c r="C526" s="857"/>
      <c r="D526" s="874"/>
      <c r="E526" s="874"/>
      <c r="F526" s="874"/>
      <c r="G526" s="874"/>
      <c r="H526" s="874"/>
      <c r="I526" s="874"/>
      <c r="J526" s="874"/>
      <c r="K526" s="874"/>
      <c r="L526" s="874"/>
      <c r="M526" s="874"/>
      <c r="N526" s="874"/>
      <c r="O526" s="874"/>
      <c r="P526" s="874"/>
      <c r="Q526" s="874"/>
      <c r="R526" s="874"/>
      <c r="S526" s="874"/>
    </row>
    <row r="527" spans="1:19">
      <c r="A527" s="857"/>
      <c r="B527" s="857"/>
      <c r="C527" s="857"/>
      <c r="D527" s="874"/>
      <c r="E527" s="874"/>
      <c r="F527" s="874"/>
      <c r="G527" s="874"/>
      <c r="H527" s="874"/>
      <c r="I527" s="874"/>
      <c r="J527" s="874"/>
      <c r="K527" s="874"/>
      <c r="L527" s="874"/>
      <c r="M527" s="874"/>
      <c r="N527" s="874"/>
      <c r="O527" s="874"/>
      <c r="P527" s="874"/>
      <c r="Q527" s="874"/>
      <c r="R527" s="874"/>
      <c r="S527" s="874"/>
    </row>
    <row r="528" spans="1:19">
      <c r="A528" s="857"/>
      <c r="B528" s="857"/>
      <c r="C528" s="857"/>
      <c r="D528" s="874"/>
      <c r="E528" s="874"/>
      <c r="F528" s="874"/>
      <c r="G528" s="874"/>
      <c r="H528" s="874"/>
      <c r="I528" s="874"/>
      <c r="J528" s="874"/>
      <c r="K528" s="874"/>
      <c r="L528" s="874"/>
      <c r="M528" s="874"/>
      <c r="N528" s="874"/>
      <c r="O528" s="874"/>
      <c r="P528" s="874"/>
      <c r="Q528" s="874"/>
      <c r="R528" s="874"/>
      <c r="S528" s="874"/>
    </row>
    <row r="529" spans="1:19" ht="14.25">
      <c r="A529" s="856" t="s">
        <v>897</v>
      </c>
      <c r="B529" s="867"/>
      <c r="C529" s="867"/>
      <c r="D529" s="874"/>
      <c r="E529" s="874"/>
      <c r="F529" s="874"/>
      <c r="G529" s="874"/>
      <c r="H529" s="874"/>
      <c r="I529" s="874"/>
      <c r="J529" s="874"/>
      <c r="K529" s="874"/>
      <c r="L529" s="874"/>
      <c r="M529" s="874"/>
      <c r="N529" s="874"/>
      <c r="O529" s="874"/>
      <c r="P529" s="874"/>
      <c r="Q529" s="874"/>
      <c r="R529" s="874"/>
      <c r="S529" s="874"/>
    </row>
    <row r="530" spans="1:19">
      <c r="A530" s="857"/>
      <c r="B530" s="857"/>
      <c r="C530" s="857"/>
      <c r="D530" s="874"/>
      <c r="E530" s="874"/>
      <c r="F530" s="874"/>
      <c r="G530" s="874"/>
      <c r="H530" s="874"/>
      <c r="I530" s="874"/>
      <c r="J530" s="874"/>
      <c r="K530" s="874"/>
      <c r="L530" s="874"/>
      <c r="M530" s="874"/>
      <c r="N530" s="874"/>
      <c r="O530" s="874"/>
      <c r="P530" s="874"/>
      <c r="Q530" s="874"/>
      <c r="R530" s="874"/>
      <c r="S530" s="874"/>
    </row>
    <row r="531" spans="1:19">
      <c r="A531" s="868" t="s">
        <v>898</v>
      </c>
      <c r="B531" s="866"/>
      <c r="C531" s="866"/>
      <c r="D531" s="874"/>
      <c r="E531" s="874"/>
      <c r="F531" s="874"/>
      <c r="G531" s="874"/>
      <c r="H531" s="874"/>
      <c r="I531" s="874"/>
      <c r="J531" s="874"/>
      <c r="K531" s="874"/>
      <c r="L531" s="874"/>
      <c r="M531" s="874"/>
      <c r="N531" s="874"/>
      <c r="O531" s="874"/>
      <c r="P531" s="874"/>
      <c r="Q531" s="874"/>
      <c r="R531" s="874"/>
      <c r="S531" s="874"/>
    </row>
    <row r="532" spans="1:19">
      <c r="A532" s="857"/>
      <c r="B532" s="857"/>
      <c r="C532" s="857"/>
      <c r="D532" s="874"/>
      <c r="E532" s="874"/>
      <c r="F532" s="874"/>
      <c r="G532" s="874"/>
      <c r="H532" s="874"/>
      <c r="I532" s="874"/>
      <c r="J532" s="874"/>
      <c r="K532" s="874"/>
      <c r="L532" s="874"/>
      <c r="M532" s="874"/>
      <c r="N532" s="874"/>
      <c r="O532" s="874"/>
      <c r="P532" s="874"/>
      <c r="Q532" s="874"/>
      <c r="R532" s="874"/>
      <c r="S532" s="874"/>
    </row>
    <row r="533" spans="1:19">
      <c r="A533" s="857" t="s">
        <v>68</v>
      </c>
      <c r="B533" s="857"/>
      <c r="C533" s="857"/>
      <c r="D533" s="874"/>
      <c r="E533" s="874"/>
      <c r="F533" s="874"/>
      <c r="G533" s="874"/>
      <c r="H533" s="874"/>
      <c r="I533" s="874"/>
      <c r="J533" s="874"/>
      <c r="K533" s="874"/>
      <c r="L533" s="874"/>
      <c r="M533" s="874"/>
      <c r="N533" s="874"/>
      <c r="O533" s="874"/>
      <c r="P533" s="874"/>
      <c r="Q533" s="874"/>
      <c r="R533" s="874"/>
      <c r="S533" s="874"/>
    </row>
    <row r="534" spans="1:19">
      <c r="A534" s="857" t="s">
        <v>69</v>
      </c>
      <c r="B534" s="857"/>
      <c r="C534" s="857"/>
      <c r="D534" s="874"/>
      <c r="E534" s="874"/>
      <c r="F534" s="874"/>
      <c r="G534" s="874"/>
      <c r="H534" s="874"/>
      <c r="I534" s="874"/>
      <c r="J534" s="874"/>
      <c r="K534" s="874"/>
      <c r="L534" s="874"/>
      <c r="M534" s="874"/>
      <c r="N534" s="874"/>
      <c r="O534" s="874"/>
      <c r="P534" s="874"/>
      <c r="Q534" s="874"/>
      <c r="R534" s="874"/>
      <c r="S534" s="874"/>
    </row>
    <row r="535" spans="1:19">
      <c r="A535" s="857" t="s">
        <v>930</v>
      </c>
      <c r="B535" s="857"/>
      <c r="C535" s="857"/>
      <c r="D535" s="874"/>
      <c r="E535" s="874"/>
      <c r="F535" s="874"/>
      <c r="G535" s="874"/>
      <c r="H535" s="874"/>
      <c r="I535" s="874"/>
      <c r="J535" s="874"/>
      <c r="K535" s="874"/>
      <c r="L535" s="874"/>
      <c r="M535" s="874"/>
      <c r="N535" s="874"/>
      <c r="O535" s="874"/>
      <c r="P535" s="874"/>
      <c r="Q535" s="874"/>
      <c r="R535" s="874"/>
      <c r="S535" s="874"/>
    </row>
    <row r="536" spans="1:19">
      <c r="A536" s="857" t="s">
        <v>869</v>
      </c>
      <c r="B536" s="857"/>
      <c r="C536" s="857"/>
      <c r="D536" s="874"/>
      <c r="E536" s="874"/>
      <c r="F536" s="874"/>
      <c r="G536" s="874"/>
      <c r="H536" s="874"/>
      <c r="I536" s="874"/>
      <c r="J536" s="874"/>
      <c r="K536" s="874"/>
      <c r="L536" s="874"/>
      <c r="M536" s="874"/>
      <c r="N536" s="874"/>
      <c r="O536" s="874"/>
      <c r="P536" s="874"/>
      <c r="Q536" s="874"/>
      <c r="R536" s="874"/>
      <c r="S536" s="874"/>
    </row>
    <row r="537" spans="1:19">
      <c r="A537" s="857" t="s">
        <v>867</v>
      </c>
      <c r="B537" s="857"/>
      <c r="C537" s="857"/>
      <c r="D537" s="874"/>
      <c r="E537" s="874"/>
      <c r="F537" s="874"/>
      <c r="G537" s="874"/>
      <c r="H537" s="874"/>
      <c r="I537" s="874"/>
      <c r="J537" s="874"/>
      <c r="K537" s="874"/>
      <c r="L537" s="874"/>
      <c r="M537" s="874"/>
      <c r="N537" s="874"/>
      <c r="O537" s="874"/>
      <c r="P537" s="874"/>
      <c r="Q537" s="874"/>
      <c r="R537" s="874"/>
      <c r="S537" s="874"/>
    </row>
    <row r="538" spans="1:19">
      <c r="A538" s="857"/>
      <c r="B538" s="857"/>
      <c r="C538" s="857"/>
      <c r="D538" s="874"/>
      <c r="E538" s="874"/>
      <c r="F538" s="874"/>
      <c r="G538" s="874"/>
      <c r="H538" s="874"/>
      <c r="I538" s="874"/>
      <c r="J538" s="874"/>
      <c r="K538" s="874"/>
      <c r="L538" s="874"/>
      <c r="M538" s="874"/>
      <c r="N538" s="874"/>
      <c r="O538" s="874"/>
      <c r="P538" s="874"/>
      <c r="Q538" s="874"/>
      <c r="R538" s="874"/>
      <c r="S538" s="874"/>
    </row>
    <row r="539" spans="1:19">
      <c r="A539" s="868" t="s">
        <v>899</v>
      </c>
      <c r="B539" s="866"/>
      <c r="C539" s="866"/>
      <c r="D539" s="874"/>
      <c r="E539" s="874"/>
      <c r="F539" s="874"/>
      <c r="G539" s="874"/>
      <c r="H539" s="874"/>
      <c r="I539" s="874"/>
      <c r="J539" s="874"/>
      <c r="K539" s="874"/>
      <c r="L539" s="874"/>
      <c r="M539" s="874"/>
      <c r="N539" s="874"/>
      <c r="O539" s="874"/>
      <c r="P539" s="874"/>
      <c r="Q539" s="874"/>
      <c r="R539" s="874"/>
      <c r="S539" s="874"/>
    </row>
    <row r="540" spans="1:19">
      <c r="A540" s="857"/>
      <c r="B540" s="857"/>
      <c r="C540" s="857"/>
      <c r="D540" s="874"/>
      <c r="E540" s="874"/>
      <c r="F540" s="874"/>
      <c r="G540" s="874"/>
      <c r="H540" s="874"/>
      <c r="I540" s="874"/>
      <c r="J540" s="874"/>
      <c r="K540" s="874"/>
      <c r="L540" s="874"/>
      <c r="M540" s="874"/>
      <c r="N540" s="874"/>
      <c r="O540" s="874"/>
      <c r="P540" s="874"/>
      <c r="Q540" s="874"/>
      <c r="R540" s="874"/>
      <c r="S540" s="874"/>
    </row>
    <row r="541" spans="1:19">
      <c r="A541" s="857">
        <v>1</v>
      </c>
      <c r="B541" s="857"/>
      <c r="C541" s="857"/>
      <c r="D541" s="874"/>
      <c r="E541" s="874"/>
      <c r="F541" s="874"/>
      <c r="G541" s="874"/>
      <c r="H541" s="874"/>
      <c r="I541" s="874"/>
      <c r="J541" s="874"/>
      <c r="K541" s="874"/>
      <c r="L541" s="874"/>
      <c r="M541" s="874"/>
      <c r="N541" s="874"/>
      <c r="O541" s="874"/>
      <c r="P541" s="874"/>
      <c r="Q541" s="874"/>
      <c r="R541" s="874"/>
      <c r="S541" s="874"/>
    </row>
    <row r="542" spans="1:19">
      <c r="A542" s="857">
        <v>2</v>
      </c>
      <c r="B542" s="857"/>
      <c r="C542" s="857"/>
      <c r="D542" s="874"/>
      <c r="E542" s="874"/>
      <c r="F542" s="874"/>
      <c r="G542" s="874"/>
      <c r="H542" s="874"/>
      <c r="I542" s="874"/>
      <c r="J542" s="874"/>
      <c r="K542" s="874"/>
      <c r="L542" s="874"/>
      <c r="M542" s="874"/>
      <c r="N542" s="874"/>
      <c r="O542" s="874"/>
      <c r="P542" s="874"/>
      <c r="Q542" s="874"/>
      <c r="R542" s="874"/>
      <c r="S542" s="874"/>
    </row>
    <row r="543" spans="1:19">
      <c r="A543" s="857">
        <v>5</v>
      </c>
      <c r="B543" s="857"/>
      <c r="C543" s="857"/>
      <c r="D543" s="874"/>
      <c r="E543" s="874"/>
      <c r="F543" s="874"/>
      <c r="G543" s="874"/>
      <c r="H543" s="874"/>
      <c r="I543" s="874"/>
      <c r="J543" s="874"/>
      <c r="K543" s="874"/>
      <c r="L543" s="874"/>
      <c r="M543" s="874"/>
      <c r="N543" s="874"/>
      <c r="O543" s="874"/>
      <c r="P543" s="874"/>
      <c r="Q543" s="874"/>
      <c r="R543" s="874"/>
      <c r="S543" s="874"/>
    </row>
    <row r="544" spans="1:19">
      <c r="A544" s="857">
        <v>7</v>
      </c>
      <c r="B544" s="857"/>
      <c r="C544" s="857"/>
      <c r="D544" s="874"/>
      <c r="E544" s="874"/>
      <c r="F544" s="874"/>
      <c r="G544" s="874"/>
      <c r="H544" s="874"/>
      <c r="I544" s="874"/>
      <c r="J544" s="874"/>
      <c r="K544" s="874"/>
      <c r="L544" s="874"/>
      <c r="M544" s="874"/>
      <c r="N544" s="874"/>
      <c r="O544" s="874"/>
      <c r="P544" s="874"/>
      <c r="Q544" s="874"/>
      <c r="R544" s="874"/>
      <c r="S544" s="874"/>
    </row>
    <row r="545" spans="1:19">
      <c r="A545" s="857">
        <v>8</v>
      </c>
      <c r="B545" s="857"/>
      <c r="C545" s="857"/>
      <c r="D545" s="874"/>
      <c r="E545" s="874"/>
      <c r="F545" s="874"/>
      <c r="G545" s="874"/>
      <c r="H545" s="874"/>
      <c r="I545" s="874"/>
      <c r="J545" s="874"/>
      <c r="K545" s="874"/>
      <c r="L545" s="874"/>
      <c r="M545" s="874"/>
      <c r="N545" s="874"/>
      <c r="O545" s="874"/>
      <c r="P545" s="874"/>
      <c r="Q545" s="874"/>
      <c r="R545" s="874"/>
      <c r="S545" s="874"/>
    </row>
    <row r="546" spans="1:19">
      <c r="A546" s="857">
        <v>9</v>
      </c>
      <c r="B546" s="857"/>
      <c r="C546" s="857"/>
      <c r="D546" s="874"/>
      <c r="E546" s="874"/>
      <c r="F546" s="874"/>
      <c r="G546" s="874"/>
      <c r="H546" s="874"/>
      <c r="I546" s="874"/>
      <c r="J546" s="874"/>
      <c r="K546" s="874"/>
      <c r="L546" s="874"/>
      <c r="M546" s="874"/>
      <c r="N546" s="874"/>
      <c r="O546" s="874"/>
      <c r="P546" s="874"/>
      <c r="Q546" s="874"/>
      <c r="R546" s="874"/>
      <c r="S546" s="874"/>
    </row>
    <row r="547" spans="1:19">
      <c r="A547" s="857" t="s">
        <v>220</v>
      </c>
      <c r="B547" s="857"/>
      <c r="C547" s="857"/>
      <c r="D547" s="874"/>
      <c r="E547" s="874"/>
      <c r="F547" s="874"/>
      <c r="G547" s="874"/>
      <c r="H547" s="874"/>
      <c r="I547" s="874"/>
      <c r="J547" s="874"/>
      <c r="K547" s="874"/>
      <c r="L547" s="874"/>
      <c r="M547" s="874"/>
      <c r="N547" s="874"/>
      <c r="O547" s="874"/>
      <c r="P547" s="874"/>
      <c r="Q547" s="874"/>
      <c r="R547" s="874"/>
      <c r="S547" s="874"/>
    </row>
    <row r="548" spans="1:19">
      <c r="A548" s="857"/>
      <c r="B548" s="857"/>
      <c r="C548" s="857"/>
      <c r="D548" s="874"/>
      <c r="E548" s="874"/>
      <c r="F548" s="874"/>
      <c r="G548" s="874"/>
      <c r="H548" s="874"/>
      <c r="I548" s="874"/>
      <c r="J548" s="874"/>
      <c r="K548" s="874"/>
      <c r="L548" s="874"/>
      <c r="M548" s="874"/>
      <c r="N548" s="874"/>
      <c r="O548" s="874"/>
      <c r="P548" s="874"/>
      <c r="Q548" s="874"/>
      <c r="R548" s="874"/>
      <c r="S548" s="874"/>
    </row>
    <row r="549" spans="1:19">
      <c r="A549" s="868" t="s">
        <v>728</v>
      </c>
      <c r="B549" s="866"/>
      <c r="C549" s="866"/>
      <c r="D549" s="874"/>
      <c r="E549" s="874"/>
      <c r="F549" s="874"/>
      <c r="G549" s="874"/>
      <c r="H549" s="874"/>
      <c r="I549" s="874"/>
      <c r="J549" s="874"/>
      <c r="K549" s="874"/>
      <c r="L549" s="874"/>
      <c r="M549" s="874"/>
      <c r="N549" s="874"/>
      <c r="O549" s="874"/>
      <c r="P549" s="874"/>
      <c r="Q549" s="874"/>
      <c r="R549" s="874"/>
      <c r="S549" s="874"/>
    </row>
    <row r="550" spans="1:19">
      <c r="A550" s="857"/>
      <c r="B550" s="857"/>
      <c r="C550" s="857"/>
      <c r="D550" s="874"/>
      <c r="E550" s="874"/>
      <c r="F550" s="874"/>
      <c r="G550" s="874"/>
      <c r="H550" s="874"/>
      <c r="I550" s="874"/>
      <c r="J550" s="874"/>
      <c r="K550" s="874"/>
      <c r="L550" s="874"/>
      <c r="M550" s="874"/>
      <c r="N550" s="874"/>
      <c r="O550" s="874"/>
      <c r="P550" s="874"/>
      <c r="Q550" s="874"/>
      <c r="R550" s="874"/>
      <c r="S550" s="874"/>
    </row>
    <row r="551" spans="1:19">
      <c r="A551" s="857" t="s">
        <v>327</v>
      </c>
      <c r="B551" s="857"/>
      <c r="C551" s="857"/>
      <c r="D551" s="874"/>
      <c r="E551" s="874"/>
      <c r="F551" s="874"/>
      <c r="G551" s="874"/>
      <c r="H551" s="874"/>
      <c r="I551" s="874"/>
      <c r="J551" s="874"/>
      <c r="K551" s="874"/>
      <c r="L551" s="874"/>
      <c r="M551" s="874"/>
      <c r="N551" s="874"/>
      <c r="O551" s="874"/>
      <c r="P551" s="874"/>
      <c r="Q551" s="874"/>
      <c r="R551" s="874"/>
      <c r="S551" s="874"/>
    </row>
    <row r="552" spans="1:19">
      <c r="A552" s="857" t="s">
        <v>328</v>
      </c>
      <c r="B552" s="857"/>
      <c r="C552" s="857"/>
      <c r="D552" s="874"/>
      <c r="E552" s="874"/>
      <c r="F552" s="874"/>
      <c r="G552" s="874"/>
      <c r="H552" s="874"/>
      <c r="I552" s="874"/>
      <c r="J552" s="874"/>
      <c r="K552" s="874"/>
      <c r="L552" s="874"/>
      <c r="M552" s="874"/>
      <c r="N552" s="874"/>
      <c r="O552" s="874"/>
      <c r="P552" s="874"/>
      <c r="Q552" s="874"/>
      <c r="R552" s="874"/>
      <c r="S552" s="874"/>
    </row>
    <row r="553" spans="1:19">
      <c r="A553" s="857"/>
      <c r="B553" s="857"/>
      <c r="C553" s="857"/>
      <c r="D553" s="874"/>
      <c r="E553" s="874"/>
      <c r="F553" s="874"/>
      <c r="G553" s="874"/>
      <c r="H553" s="874"/>
      <c r="I553" s="874"/>
      <c r="J553" s="874"/>
      <c r="K553" s="874"/>
      <c r="L553" s="874"/>
      <c r="M553" s="874"/>
      <c r="N553" s="874"/>
      <c r="O553" s="874"/>
      <c r="P553" s="874"/>
      <c r="Q553" s="874"/>
      <c r="R553" s="874"/>
      <c r="S553" s="874"/>
    </row>
    <row r="554" spans="1:19" ht="14.25">
      <c r="A554" s="856" t="s">
        <v>900</v>
      </c>
      <c r="B554" s="867"/>
      <c r="C554" s="867"/>
      <c r="D554" s="874"/>
      <c r="E554" s="874"/>
      <c r="F554" s="874"/>
      <c r="G554" s="874"/>
      <c r="H554" s="874"/>
      <c r="I554" s="874"/>
      <c r="J554" s="874"/>
      <c r="K554" s="874"/>
      <c r="L554" s="874"/>
      <c r="M554" s="874"/>
      <c r="N554" s="874"/>
      <c r="O554" s="874"/>
      <c r="P554" s="874"/>
      <c r="Q554" s="874"/>
      <c r="R554" s="874"/>
      <c r="S554" s="874"/>
    </row>
    <row r="555" spans="1:19">
      <c r="A555" s="857"/>
      <c r="B555" s="857"/>
      <c r="C555" s="857"/>
      <c r="D555" s="874"/>
      <c r="E555" s="874"/>
      <c r="F555" s="874"/>
      <c r="G555" s="874"/>
      <c r="H555" s="874"/>
      <c r="I555" s="874"/>
      <c r="J555" s="874"/>
      <c r="K555" s="874"/>
      <c r="L555" s="874"/>
      <c r="M555" s="874"/>
      <c r="N555" s="874"/>
      <c r="O555" s="874"/>
      <c r="P555" s="874"/>
      <c r="Q555" s="874"/>
      <c r="R555" s="874"/>
      <c r="S555" s="874"/>
    </row>
    <row r="556" spans="1:19">
      <c r="A556" s="868" t="s">
        <v>1696</v>
      </c>
      <c r="B556" s="866"/>
      <c r="C556" s="866"/>
      <c r="D556" s="874"/>
      <c r="E556" s="874"/>
      <c r="F556" s="874"/>
      <c r="G556" s="874"/>
      <c r="H556" s="874"/>
      <c r="I556" s="874"/>
      <c r="J556" s="874"/>
      <c r="K556" s="874"/>
      <c r="L556" s="874"/>
      <c r="M556" s="874"/>
      <c r="N556" s="874"/>
      <c r="O556" s="874"/>
      <c r="P556" s="874"/>
      <c r="Q556" s="874"/>
      <c r="R556" s="874"/>
      <c r="S556" s="874"/>
    </row>
    <row r="557" spans="1:19">
      <c r="A557" s="857"/>
      <c r="B557" s="857"/>
      <c r="C557" s="857"/>
      <c r="D557" s="874"/>
      <c r="E557" s="874"/>
      <c r="F557" s="874"/>
      <c r="G557" s="874"/>
      <c r="H557" s="874"/>
      <c r="I557" s="874"/>
      <c r="J557" s="874"/>
      <c r="K557" s="874"/>
      <c r="L557" s="874"/>
      <c r="M557" s="874"/>
      <c r="N557" s="874"/>
      <c r="O557" s="874"/>
      <c r="P557" s="874"/>
      <c r="Q557" s="874"/>
      <c r="R557" s="874"/>
      <c r="S557" s="874"/>
    </row>
    <row r="558" spans="1:19">
      <c r="A558" s="857" t="s">
        <v>1697</v>
      </c>
      <c r="B558" s="857"/>
      <c r="C558" s="857"/>
      <c r="D558" s="874"/>
      <c r="E558" s="874"/>
      <c r="F558" s="874"/>
      <c r="G558" s="874"/>
      <c r="H558" s="874"/>
      <c r="I558" s="874"/>
      <c r="J558" s="874"/>
      <c r="K558" s="874"/>
      <c r="L558" s="874"/>
      <c r="M558" s="874"/>
      <c r="N558" s="874"/>
      <c r="O558" s="874"/>
      <c r="P558" s="874"/>
      <c r="Q558" s="874"/>
      <c r="R558" s="874"/>
      <c r="S558" s="874"/>
    </row>
    <row r="559" spans="1:19">
      <c r="A559" s="857" t="s">
        <v>1698</v>
      </c>
      <c r="B559" s="857"/>
      <c r="C559" s="857"/>
      <c r="D559" s="874"/>
      <c r="E559" s="874"/>
      <c r="F559" s="874"/>
      <c r="G559" s="874"/>
      <c r="H559" s="874"/>
      <c r="I559" s="874"/>
      <c r="J559" s="874"/>
      <c r="K559" s="874"/>
      <c r="L559" s="874"/>
      <c r="M559" s="874"/>
      <c r="N559" s="874"/>
      <c r="O559" s="874"/>
      <c r="P559" s="874"/>
      <c r="Q559" s="874"/>
      <c r="R559" s="874"/>
      <c r="S559" s="874"/>
    </row>
    <row r="560" spans="1:19">
      <c r="A560" s="857"/>
      <c r="B560" s="857"/>
      <c r="C560" s="857"/>
      <c r="D560" s="874"/>
      <c r="E560" s="874"/>
      <c r="F560" s="874"/>
      <c r="G560" s="874"/>
      <c r="H560" s="874"/>
      <c r="I560" s="874"/>
      <c r="J560" s="874"/>
      <c r="K560" s="874"/>
      <c r="L560" s="874"/>
      <c r="M560" s="874"/>
      <c r="N560" s="874"/>
      <c r="O560" s="874"/>
      <c r="P560" s="874"/>
      <c r="Q560" s="874"/>
      <c r="R560" s="874"/>
      <c r="S560" s="874"/>
    </row>
    <row r="561" spans="1:19">
      <c r="A561" s="868" t="s">
        <v>1699</v>
      </c>
      <c r="B561" s="866"/>
      <c r="C561" s="866"/>
      <c r="D561" s="874"/>
      <c r="E561" s="874"/>
      <c r="F561" s="874"/>
      <c r="G561" s="874"/>
      <c r="H561" s="874"/>
      <c r="I561" s="874"/>
      <c r="J561" s="874"/>
      <c r="K561" s="874"/>
      <c r="L561" s="874"/>
      <c r="M561" s="874"/>
      <c r="N561" s="874"/>
      <c r="O561" s="874"/>
      <c r="P561" s="874"/>
      <c r="Q561" s="874"/>
      <c r="R561" s="874"/>
      <c r="S561" s="874"/>
    </row>
    <row r="562" spans="1:19">
      <c r="A562" s="857"/>
      <c r="B562" s="857"/>
      <c r="C562" s="857"/>
      <c r="D562" s="874"/>
      <c r="E562" s="874"/>
      <c r="F562" s="874"/>
      <c r="G562" s="874"/>
      <c r="H562" s="874"/>
      <c r="I562" s="874"/>
      <c r="J562" s="874"/>
      <c r="K562" s="874"/>
      <c r="L562" s="874"/>
      <c r="M562" s="874"/>
      <c r="N562" s="874"/>
      <c r="O562" s="874"/>
      <c r="P562" s="874"/>
      <c r="Q562" s="874"/>
      <c r="R562" s="874"/>
      <c r="S562" s="874"/>
    </row>
    <row r="563" spans="1:19">
      <c r="A563" s="857" t="s">
        <v>1683</v>
      </c>
      <c r="B563" s="857"/>
      <c r="C563" s="857"/>
      <c r="D563" s="874"/>
      <c r="E563" s="874"/>
      <c r="F563" s="874"/>
      <c r="G563" s="874"/>
      <c r="H563" s="874"/>
      <c r="I563" s="874"/>
      <c r="J563" s="874"/>
      <c r="K563" s="874"/>
      <c r="L563" s="874"/>
      <c r="M563" s="874"/>
      <c r="N563" s="874"/>
      <c r="O563" s="874"/>
      <c r="P563" s="874"/>
      <c r="Q563" s="874"/>
      <c r="R563" s="874"/>
      <c r="S563" s="874"/>
    </row>
    <row r="564" spans="1:19">
      <c r="A564" s="857" t="s">
        <v>1700</v>
      </c>
      <c r="B564" s="857"/>
      <c r="C564" s="857"/>
      <c r="D564" s="874"/>
      <c r="E564" s="874"/>
      <c r="F564" s="874"/>
      <c r="G564" s="874"/>
      <c r="H564" s="874"/>
      <c r="I564" s="874"/>
      <c r="J564" s="874"/>
      <c r="K564" s="874"/>
      <c r="L564" s="874"/>
      <c r="M564" s="874"/>
      <c r="N564" s="874"/>
      <c r="O564" s="874"/>
      <c r="P564" s="874"/>
      <c r="Q564" s="874"/>
      <c r="R564" s="874"/>
      <c r="S564" s="874"/>
    </row>
    <row r="565" spans="1:19">
      <c r="A565" s="857" t="s">
        <v>1701</v>
      </c>
      <c r="B565" s="857"/>
      <c r="C565" s="857"/>
      <c r="D565" s="874"/>
      <c r="E565" s="874"/>
      <c r="F565" s="874"/>
      <c r="G565" s="874"/>
      <c r="H565" s="874"/>
      <c r="I565" s="874"/>
      <c r="J565" s="874"/>
      <c r="K565" s="874"/>
      <c r="L565" s="874"/>
      <c r="M565" s="874"/>
      <c r="N565" s="874"/>
      <c r="O565" s="874"/>
      <c r="P565" s="874"/>
      <c r="Q565" s="874"/>
      <c r="R565" s="874"/>
      <c r="S565" s="874"/>
    </row>
    <row r="566" spans="1:19">
      <c r="A566" s="857"/>
      <c r="B566" s="857"/>
      <c r="C566" s="857"/>
      <c r="D566" s="874"/>
      <c r="E566" s="874"/>
      <c r="F566" s="874"/>
      <c r="G566" s="874"/>
      <c r="H566" s="874"/>
      <c r="I566" s="874"/>
      <c r="J566" s="874"/>
      <c r="K566" s="874"/>
      <c r="L566" s="874"/>
      <c r="M566" s="874"/>
      <c r="N566" s="874"/>
      <c r="O566" s="874"/>
      <c r="P566" s="874"/>
      <c r="Q566" s="874"/>
      <c r="R566" s="874"/>
      <c r="S566" s="874"/>
    </row>
    <row r="567" spans="1:19">
      <c r="A567" s="868" t="s">
        <v>901</v>
      </c>
      <c r="B567" s="866"/>
      <c r="C567" s="866"/>
      <c r="D567" s="874"/>
      <c r="E567" s="874"/>
      <c r="F567" s="874"/>
      <c r="G567" s="874"/>
      <c r="H567" s="874"/>
      <c r="I567" s="874"/>
      <c r="J567" s="874"/>
      <c r="K567" s="874"/>
      <c r="L567" s="874"/>
      <c r="M567" s="874"/>
      <c r="N567" s="874"/>
      <c r="O567" s="874"/>
      <c r="P567" s="874"/>
      <c r="Q567" s="874"/>
      <c r="R567" s="874"/>
      <c r="S567" s="874"/>
    </row>
    <row r="568" spans="1:19">
      <c r="A568" s="857"/>
      <c r="B568" s="857"/>
      <c r="C568" s="857"/>
      <c r="D568" s="874"/>
      <c r="E568" s="874"/>
      <c r="F568" s="874"/>
      <c r="G568" s="874"/>
      <c r="H568" s="874"/>
      <c r="I568" s="874"/>
      <c r="J568" s="874"/>
      <c r="K568" s="874"/>
      <c r="L568" s="874"/>
      <c r="M568" s="874"/>
      <c r="N568" s="874"/>
      <c r="O568" s="874"/>
      <c r="P568" s="874"/>
      <c r="Q568" s="874"/>
      <c r="R568" s="874"/>
      <c r="S568" s="874"/>
    </row>
    <row r="569" spans="1:19">
      <c r="A569" s="857" t="s">
        <v>377</v>
      </c>
      <c r="B569" s="857"/>
      <c r="C569" s="857"/>
      <c r="D569" s="874"/>
      <c r="E569" s="874"/>
      <c r="F569" s="874"/>
      <c r="G569" s="874"/>
      <c r="H569" s="874"/>
      <c r="I569" s="874"/>
      <c r="J569" s="874"/>
      <c r="K569" s="874"/>
      <c r="L569" s="874"/>
      <c r="M569" s="874"/>
      <c r="N569" s="874"/>
      <c r="O569" s="874"/>
      <c r="P569" s="874"/>
      <c r="Q569" s="874"/>
      <c r="R569" s="874"/>
      <c r="S569" s="874"/>
    </row>
    <row r="570" spans="1:19">
      <c r="A570" s="857" t="s">
        <v>378</v>
      </c>
      <c r="B570" s="857"/>
      <c r="C570" s="857"/>
      <c r="D570" s="874"/>
      <c r="E570" s="874"/>
      <c r="F570" s="874"/>
      <c r="G570" s="874"/>
      <c r="H570" s="874"/>
      <c r="I570" s="874"/>
      <c r="J570" s="874"/>
      <c r="K570" s="874"/>
      <c r="L570" s="874"/>
      <c r="M570" s="874"/>
      <c r="N570" s="874"/>
      <c r="O570" s="874"/>
      <c r="P570" s="874"/>
      <c r="Q570" s="874"/>
      <c r="R570" s="874"/>
      <c r="S570" s="874"/>
    </row>
    <row r="571" spans="1:19">
      <c r="A571" s="857" t="s">
        <v>341</v>
      </c>
      <c r="B571" s="857"/>
      <c r="C571" s="857"/>
      <c r="D571" s="874"/>
      <c r="E571" s="874"/>
      <c r="F571" s="874"/>
      <c r="G571" s="874"/>
      <c r="H571" s="874"/>
      <c r="I571" s="874"/>
      <c r="J571" s="874"/>
      <c r="K571" s="874"/>
      <c r="L571" s="874"/>
      <c r="M571" s="874"/>
      <c r="N571" s="874"/>
      <c r="O571" s="874"/>
      <c r="P571" s="874"/>
      <c r="Q571" s="874"/>
      <c r="R571" s="874"/>
      <c r="S571" s="874"/>
    </row>
    <row r="572" spans="1:19">
      <c r="A572" s="857" t="s">
        <v>342</v>
      </c>
      <c r="B572" s="857"/>
      <c r="C572" s="857"/>
      <c r="D572" s="874"/>
      <c r="E572" s="874"/>
      <c r="F572" s="874"/>
      <c r="G572" s="874"/>
      <c r="H572" s="874"/>
      <c r="I572" s="874"/>
      <c r="J572" s="874"/>
      <c r="K572" s="874"/>
      <c r="L572" s="874"/>
      <c r="M572" s="874"/>
      <c r="N572" s="874"/>
      <c r="O572" s="874"/>
      <c r="P572" s="874"/>
      <c r="Q572" s="874"/>
      <c r="R572" s="874"/>
      <c r="S572" s="874"/>
    </row>
    <row r="573" spans="1:19">
      <c r="A573" s="857" t="s">
        <v>343</v>
      </c>
      <c r="B573" s="857"/>
      <c r="C573" s="857"/>
      <c r="D573" s="874"/>
      <c r="E573" s="874"/>
      <c r="F573" s="874"/>
      <c r="G573" s="874"/>
      <c r="H573" s="874"/>
      <c r="I573" s="874"/>
      <c r="J573" s="874"/>
      <c r="K573" s="874"/>
      <c r="L573" s="874"/>
      <c r="M573" s="874"/>
      <c r="N573" s="874"/>
      <c r="O573" s="874"/>
      <c r="P573" s="874"/>
      <c r="Q573" s="874"/>
      <c r="R573" s="874"/>
      <c r="S573" s="874"/>
    </row>
    <row r="574" spans="1:19">
      <c r="A574" s="857"/>
      <c r="B574" s="857"/>
      <c r="C574" s="857"/>
      <c r="D574" s="874"/>
      <c r="E574" s="874"/>
      <c r="F574" s="874"/>
      <c r="G574" s="874"/>
      <c r="H574" s="874"/>
      <c r="I574" s="874"/>
      <c r="J574" s="874"/>
      <c r="K574" s="874"/>
      <c r="L574" s="874"/>
      <c r="M574" s="874"/>
      <c r="N574" s="874"/>
      <c r="O574" s="874"/>
      <c r="P574" s="874"/>
      <c r="Q574" s="874"/>
      <c r="R574" s="874"/>
      <c r="S574" s="874"/>
    </row>
    <row r="575" spans="1:19" ht="14.25">
      <c r="A575" s="856" t="s">
        <v>902</v>
      </c>
      <c r="B575" s="867"/>
      <c r="C575" s="867"/>
      <c r="D575" s="874"/>
      <c r="E575" s="874"/>
      <c r="F575" s="874"/>
      <c r="G575" s="874"/>
      <c r="H575" s="874"/>
      <c r="I575" s="874"/>
      <c r="J575" s="874"/>
      <c r="K575" s="874"/>
      <c r="L575" s="874"/>
      <c r="M575" s="874"/>
      <c r="N575" s="874"/>
      <c r="O575" s="874"/>
      <c r="P575" s="874"/>
      <c r="Q575" s="874"/>
      <c r="R575" s="874"/>
      <c r="S575" s="874"/>
    </row>
    <row r="576" spans="1:19">
      <c r="A576" s="857"/>
      <c r="B576" s="857"/>
      <c r="C576" s="857"/>
      <c r="D576" s="874"/>
      <c r="E576" s="874"/>
      <c r="F576" s="874"/>
      <c r="G576" s="874"/>
      <c r="H576" s="874"/>
      <c r="I576" s="874"/>
      <c r="J576" s="874"/>
      <c r="K576" s="874"/>
      <c r="L576" s="874"/>
      <c r="M576" s="874"/>
      <c r="N576" s="874"/>
      <c r="O576" s="874"/>
      <c r="P576" s="874"/>
      <c r="Q576" s="874"/>
      <c r="R576" s="874"/>
      <c r="S576" s="874"/>
    </row>
    <row r="577" spans="1:19">
      <c r="A577" s="868" t="s">
        <v>495</v>
      </c>
      <c r="B577" s="866"/>
      <c r="C577" s="866"/>
      <c r="D577" s="874"/>
      <c r="E577" s="874"/>
      <c r="F577" s="874"/>
      <c r="G577" s="874"/>
      <c r="H577" s="874"/>
      <c r="I577" s="874"/>
      <c r="J577" s="874"/>
      <c r="K577" s="874"/>
      <c r="L577" s="874"/>
      <c r="M577" s="874"/>
      <c r="N577" s="874"/>
      <c r="O577" s="874"/>
      <c r="P577" s="874"/>
      <c r="Q577" s="874"/>
      <c r="R577" s="874"/>
      <c r="S577" s="874"/>
    </row>
    <row r="578" spans="1:19">
      <c r="A578" s="863"/>
      <c r="B578" s="857"/>
      <c r="C578" s="857"/>
      <c r="D578" s="874"/>
      <c r="E578" s="874"/>
      <c r="F578" s="874"/>
      <c r="G578" s="874"/>
      <c r="H578" s="874"/>
      <c r="I578" s="874"/>
      <c r="J578" s="874"/>
      <c r="K578" s="874"/>
      <c r="L578" s="874"/>
      <c r="M578" s="874"/>
      <c r="N578" s="874"/>
      <c r="O578" s="874"/>
      <c r="P578" s="874"/>
      <c r="Q578" s="874"/>
      <c r="R578" s="874"/>
      <c r="S578" s="874"/>
    </row>
    <row r="579" spans="1:19">
      <c r="A579" s="863" t="s">
        <v>501</v>
      </c>
      <c r="B579" s="857"/>
      <c r="C579" s="857"/>
      <c r="D579" s="874"/>
      <c r="E579" s="874"/>
      <c r="F579" s="874"/>
      <c r="G579" s="874"/>
      <c r="H579" s="874"/>
      <c r="I579" s="874"/>
      <c r="J579" s="874"/>
      <c r="K579" s="874"/>
      <c r="L579" s="874"/>
      <c r="M579" s="874"/>
      <c r="N579" s="874"/>
      <c r="O579" s="874"/>
      <c r="P579" s="874"/>
      <c r="Q579" s="874"/>
      <c r="R579" s="874"/>
      <c r="S579" s="874"/>
    </row>
    <row r="580" spans="1:19">
      <c r="A580" s="863" t="s">
        <v>507</v>
      </c>
      <c r="B580" s="857"/>
      <c r="C580" s="857"/>
      <c r="D580" s="874"/>
      <c r="E580" s="874"/>
      <c r="F580" s="874"/>
      <c r="G580" s="874"/>
      <c r="H580" s="874"/>
      <c r="I580" s="874"/>
      <c r="J580" s="874"/>
      <c r="K580" s="874"/>
      <c r="L580" s="874"/>
      <c r="M580" s="874"/>
      <c r="N580" s="874"/>
      <c r="O580" s="874"/>
      <c r="P580" s="874"/>
      <c r="Q580" s="874"/>
      <c r="R580" s="874"/>
      <c r="S580" s="874"/>
    </row>
    <row r="581" spans="1:19">
      <c r="A581" s="863"/>
      <c r="B581" s="857"/>
      <c r="C581" s="857"/>
      <c r="D581" s="874"/>
      <c r="E581" s="874"/>
      <c r="F581" s="874"/>
      <c r="G581" s="874"/>
      <c r="H581" s="874"/>
      <c r="I581" s="874"/>
      <c r="J581" s="874"/>
      <c r="K581" s="874"/>
      <c r="L581" s="874"/>
      <c r="M581" s="874"/>
      <c r="N581" s="874"/>
      <c r="O581" s="874"/>
      <c r="P581" s="874"/>
      <c r="Q581" s="874"/>
      <c r="R581" s="874"/>
      <c r="S581" s="874"/>
    </row>
    <row r="582" spans="1:19">
      <c r="A582" s="875" t="s">
        <v>496</v>
      </c>
      <c r="B582" s="866"/>
      <c r="C582" s="866"/>
      <c r="D582" s="874"/>
      <c r="E582" s="874"/>
      <c r="F582" s="874"/>
      <c r="G582" s="874"/>
      <c r="H582" s="874"/>
      <c r="I582" s="874"/>
      <c r="J582" s="874"/>
      <c r="K582" s="874"/>
      <c r="L582" s="874"/>
      <c r="M582" s="874"/>
      <c r="N582" s="874"/>
      <c r="O582" s="874"/>
      <c r="P582" s="874"/>
      <c r="Q582" s="874"/>
      <c r="R582" s="874"/>
      <c r="S582" s="874"/>
    </row>
    <row r="583" spans="1:19">
      <c r="A583" s="863"/>
      <c r="B583" s="857"/>
      <c r="C583" s="857"/>
      <c r="D583" s="874"/>
      <c r="E583" s="874"/>
      <c r="F583" s="874"/>
      <c r="G583" s="874"/>
      <c r="H583" s="874"/>
      <c r="I583" s="874"/>
      <c r="J583" s="874"/>
      <c r="K583" s="874"/>
      <c r="L583" s="874"/>
      <c r="M583" s="874"/>
      <c r="N583" s="874"/>
      <c r="O583" s="874"/>
      <c r="P583" s="874"/>
      <c r="Q583" s="874"/>
      <c r="R583" s="874"/>
      <c r="S583" s="874"/>
    </row>
    <row r="584" spans="1:19">
      <c r="A584" s="863" t="s">
        <v>502</v>
      </c>
      <c r="B584" s="857"/>
      <c r="C584" s="857"/>
      <c r="D584" s="874"/>
      <c r="E584" s="874"/>
      <c r="F584" s="874"/>
      <c r="G584" s="874"/>
      <c r="H584" s="874"/>
      <c r="I584" s="874"/>
      <c r="J584" s="874"/>
      <c r="K584" s="874"/>
      <c r="L584" s="874"/>
      <c r="M584" s="874"/>
      <c r="N584" s="874"/>
      <c r="O584" s="874"/>
      <c r="P584" s="874"/>
      <c r="Q584" s="874"/>
      <c r="R584" s="874"/>
      <c r="S584" s="874"/>
    </row>
    <row r="585" spans="1:19">
      <c r="A585" s="863" t="s">
        <v>508</v>
      </c>
      <c r="B585" s="857"/>
      <c r="C585" s="857"/>
      <c r="D585" s="874"/>
      <c r="E585" s="874"/>
      <c r="F585" s="874"/>
      <c r="G585" s="874"/>
      <c r="H585" s="874"/>
      <c r="I585" s="874"/>
      <c r="J585" s="874"/>
      <c r="K585" s="874"/>
      <c r="L585" s="874"/>
      <c r="M585" s="874"/>
      <c r="N585" s="874"/>
      <c r="O585" s="874"/>
      <c r="P585" s="874"/>
      <c r="Q585" s="874"/>
      <c r="R585" s="874"/>
      <c r="S585" s="874"/>
    </row>
    <row r="586" spans="1:19">
      <c r="A586" s="863" t="s">
        <v>1083</v>
      </c>
      <c r="B586" s="857"/>
      <c r="C586" s="857"/>
      <c r="D586" s="874"/>
      <c r="E586" s="874"/>
      <c r="F586" s="874"/>
      <c r="G586" s="874"/>
      <c r="H586" s="874"/>
      <c r="I586" s="874"/>
      <c r="J586" s="874"/>
      <c r="K586" s="874"/>
      <c r="L586" s="874"/>
      <c r="M586" s="874"/>
      <c r="N586" s="874"/>
      <c r="O586" s="874"/>
      <c r="P586" s="874"/>
      <c r="Q586" s="874"/>
      <c r="R586" s="874"/>
      <c r="S586" s="874"/>
    </row>
    <row r="587" spans="1:19">
      <c r="A587" s="863"/>
      <c r="B587" s="857"/>
      <c r="C587" s="857"/>
      <c r="D587" s="874"/>
      <c r="E587" s="874"/>
      <c r="F587" s="874"/>
      <c r="G587" s="874"/>
      <c r="H587" s="874"/>
      <c r="I587" s="874"/>
      <c r="J587" s="874"/>
      <c r="K587" s="874"/>
      <c r="L587" s="874"/>
      <c r="M587" s="874"/>
      <c r="N587" s="874"/>
      <c r="O587" s="874"/>
      <c r="P587" s="874"/>
      <c r="Q587" s="874"/>
      <c r="R587" s="874"/>
      <c r="S587" s="874"/>
    </row>
    <row r="588" spans="1:19">
      <c r="A588" s="875" t="s">
        <v>497</v>
      </c>
      <c r="B588" s="866"/>
      <c r="C588" s="866"/>
      <c r="D588" s="874"/>
      <c r="E588" s="874"/>
      <c r="F588" s="874"/>
      <c r="G588" s="874"/>
      <c r="H588" s="874"/>
      <c r="I588" s="874"/>
      <c r="J588" s="874"/>
      <c r="K588" s="874"/>
      <c r="L588" s="874"/>
      <c r="M588" s="874"/>
      <c r="N588" s="874"/>
      <c r="O588" s="874"/>
      <c r="P588" s="874"/>
      <c r="Q588" s="874"/>
      <c r="R588" s="874"/>
      <c r="S588" s="874"/>
    </row>
    <row r="589" spans="1:19">
      <c r="A589" s="863"/>
      <c r="B589" s="857"/>
      <c r="C589" s="857"/>
      <c r="D589" s="874"/>
      <c r="E589" s="874"/>
      <c r="F589" s="874"/>
      <c r="G589" s="874"/>
      <c r="H589" s="874"/>
      <c r="I589" s="874"/>
      <c r="J589" s="874"/>
      <c r="K589" s="874"/>
      <c r="L589" s="874"/>
      <c r="M589" s="874"/>
      <c r="N589" s="874"/>
      <c r="O589" s="874"/>
      <c r="P589" s="874"/>
      <c r="Q589" s="874"/>
      <c r="R589" s="874"/>
      <c r="S589" s="874"/>
    </row>
    <row r="590" spans="1:19">
      <c r="A590" s="863" t="s">
        <v>503</v>
      </c>
      <c r="B590" s="857"/>
      <c r="C590" s="857"/>
      <c r="D590" s="874"/>
      <c r="E590" s="874"/>
      <c r="F590" s="874"/>
      <c r="G590" s="874"/>
      <c r="H590" s="874"/>
      <c r="I590" s="874"/>
      <c r="J590" s="874"/>
      <c r="K590" s="874"/>
      <c r="L590" s="874"/>
      <c r="M590" s="874"/>
      <c r="N590" s="874"/>
      <c r="O590" s="874"/>
      <c r="P590" s="874"/>
      <c r="Q590" s="874"/>
      <c r="R590" s="874"/>
      <c r="S590" s="874"/>
    </row>
    <row r="591" spans="1:19">
      <c r="A591" s="863" t="s">
        <v>40</v>
      </c>
      <c r="B591" s="857"/>
      <c r="C591" s="857"/>
      <c r="D591" s="874"/>
      <c r="E591" s="874"/>
      <c r="F591" s="874"/>
      <c r="G591" s="874"/>
      <c r="H591" s="874"/>
      <c r="I591" s="874"/>
      <c r="J591" s="874"/>
      <c r="K591" s="874"/>
      <c r="L591" s="874"/>
      <c r="M591" s="874"/>
      <c r="N591" s="874"/>
      <c r="O591" s="874"/>
      <c r="P591" s="874"/>
      <c r="Q591" s="874"/>
      <c r="R591" s="874"/>
      <c r="S591" s="874"/>
    </row>
    <row r="592" spans="1:19">
      <c r="A592" s="863"/>
      <c r="B592" s="857"/>
      <c r="C592" s="857"/>
      <c r="D592" s="874"/>
      <c r="E592" s="874"/>
      <c r="F592" s="874"/>
      <c r="G592" s="874"/>
      <c r="H592" s="874"/>
      <c r="I592" s="874"/>
      <c r="J592" s="874"/>
      <c r="K592" s="874"/>
      <c r="L592" s="874"/>
      <c r="M592" s="874"/>
      <c r="N592" s="874"/>
      <c r="O592" s="874"/>
      <c r="P592" s="874"/>
      <c r="Q592" s="874"/>
      <c r="R592" s="874"/>
      <c r="S592" s="874"/>
    </row>
    <row r="593" spans="1:19">
      <c r="A593" s="875" t="s">
        <v>931</v>
      </c>
      <c r="B593" s="866"/>
      <c r="C593" s="866"/>
      <c r="D593" s="874"/>
      <c r="E593" s="874"/>
      <c r="F593" s="874"/>
      <c r="G593" s="874"/>
      <c r="H593" s="874"/>
      <c r="I593" s="874"/>
      <c r="J593" s="874"/>
      <c r="K593" s="874"/>
      <c r="L593" s="874"/>
      <c r="M593" s="874"/>
      <c r="N593" s="874"/>
      <c r="O593" s="874"/>
      <c r="P593" s="874"/>
      <c r="Q593" s="874"/>
      <c r="R593" s="874"/>
      <c r="S593" s="874"/>
    </row>
    <row r="594" spans="1:19">
      <c r="A594" s="863"/>
      <c r="B594" s="857"/>
      <c r="C594" s="857"/>
      <c r="D594" s="874"/>
      <c r="E594" s="874"/>
      <c r="F594" s="874"/>
      <c r="G594" s="874"/>
      <c r="H594" s="874"/>
      <c r="I594" s="874"/>
      <c r="J594" s="874"/>
      <c r="K594" s="874"/>
      <c r="L594" s="874"/>
      <c r="M594" s="874"/>
      <c r="N594" s="874"/>
      <c r="O594" s="874"/>
      <c r="P594" s="874"/>
      <c r="Q594" s="874"/>
      <c r="R594" s="874"/>
      <c r="S594" s="874"/>
    </row>
    <row r="595" spans="1:19">
      <c r="A595" s="863" t="s">
        <v>504</v>
      </c>
      <c r="B595" s="857"/>
      <c r="C595" s="857"/>
      <c r="D595" s="874"/>
      <c r="E595" s="874"/>
      <c r="F595" s="874"/>
      <c r="G595" s="874"/>
      <c r="H595" s="874"/>
      <c r="I595" s="874"/>
      <c r="J595" s="874"/>
      <c r="K595" s="874"/>
      <c r="L595" s="874"/>
      <c r="M595" s="874"/>
      <c r="N595" s="874"/>
      <c r="O595" s="874"/>
      <c r="P595" s="874"/>
      <c r="Q595" s="874"/>
      <c r="R595" s="874"/>
      <c r="S595" s="874"/>
    </row>
    <row r="596" spans="1:19">
      <c r="A596" s="863" t="s">
        <v>509</v>
      </c>
      <c r="B596" s="857"/>
      <c r="C596" s="857"/>
      <c r="D596" s="874"/>
      <c r="E596" s="874"/>
      <c r="F596" s="874"/>
      <c r="G596" s="874"/>
      <c r="H596" s="874"/>
      <c r="I596" s="874"/>
      <c r="J596" s="874"/>
      <c r="K596" s="874"/>
      <c r="L596" s="874"/>
      <c r="M596" s="874"/>
      <c r="N596" s="874"/>
      <c r="O596" s="874"/>
      <c r="P596" s="874"/>
      <c r="Q596" s="874"/>
      <c r="R596" s="874"/>
      <c r="S596" s="874"/>
    </row>
    <row r="597" spans="1:19">
      <c r="A597" s="863"/>
      <c r="B597" s="857"/>
      <c r="C597" s="857"/>
      <c r="D597" s="874"/>
      <c r="E597" s="874"/>
      <c r="F597" s="874"/>
      <c r="G597" s="874"/>
      <c r="H597" s="874"/>
      <c r="I597" s="874"/>
      <c r="J597" s="874"/>
      <c r="K597" s="874"/>
      <c r="L597" s="874"/>
      <c r="M597" s="874"/>
      <c r="N597" s="874"/>
      <c r="O597" s="874"/>
      <c r="P597" s="874"/>
      <c r="Q597" s="874"/>
      <c r="R597" s="874"/>
      <c r="S597" s="874"/>
    </row>
    <row r="598" spans="1:19">
      <c r="A598" s="875" t="s">
        <v>498</v>
      </c>
      <c r="B598" s="866"/>
      <c r="C598" s="866"/>
      <c r="D598" s="874"/>
      <c r="E598" s="874"/>
      <c r="F598" s="874"/>
      <c r="G598" s="874"/>
      <c r="H598" s="874"/>
      <c r="I598" s="874"/>
      <c r="J598" s="874"/>
      <c r="K598" s="874"/>
      <c r="L598" s="874"/>
      <c r="M598" s="874"/>
      <c r="N598" s="874"/>
      <c r="O598" s="874"/>
      <c r="P598" s="874"/>
      <c r="Q598" s="874"/>
      <c r="R598" s="874"/>
      <c r="S598" s="874"/>
    </row>
    <row r="599" spans="1:19">
      <c r="A599" s="863"/>
      <c r="B599" s="857"/>
      <c r="C599" s="857"/>
      <c r="D599" s="874"/>
      <c r="E599" s="874"/>
      <c r="F599" s="874"/>
      <c r="G599" s="874"/>
      <c r="H599" s="874"/>
      <c r="I599" s="874"/>
      <c r="J599" s="874"/>
      <c r="K599" s="874"/>
      <c r="L599" s="874"/>
      <c r="M599" s="874"/>
      <c r="N599" s="874"/>
      <c r="O599" s="874"/>
      <c r="P599" s="874"/>
      <c r="Q599" s="874"/>
      <c r="R599" s="874"/>
      <c r="S599" s="874"/>
    </row>
    <row r="600" spans="1:19">
      <c r="A600" s="863" t="s">
        <v>505</v>
      </c>
      <c r="B600" s="857"/>
      <c r="C600" s="857"/>
      <c r="D600" s="874"/>
      <c r="E600" s="874"/>
      <c r="F600" s="874"/>
      <c r="G600" s="874"/>
      <c r="H600" s="874"/>
      <c r="I600" s="874"/>
      <c r="J600" s="874"/>
      <c r="K600" s="874"/>
      <c r="L600" s="874"/>
      <c r="M600" s="874"/>
      <c r="N600" s="874"/>
      <c r="O600" s="874"/>
      <c r="P600" s="874"/>
      <c r="Q600" s="874"/>
      <c r="R600" s="874"/>
      <c r="S600" s="874"/>
    </row>
    <row r="601" spans="1:19">
      <c r="A601" s="863" t="s">
        <v>510</v>
      </c>
      <c r="B601" s="857"/>
      <c r="C601" s="857"/>
      <c r="D601" s="874"/>
      <c r="E601" s="874"/>
      <c r="F601" s="874"/>
      <c r="G601" s="874"/>
      <c r="H601" s="874"/>
      <c r="I601" s="874"/>
      <c r="J601" s="874"/>
      <c r="K601" s="874"/>
      <c r="L601" s="874"/>
      <c r="M601" s="874"/>
      <c r="N601" s="874"/>
      <c r="O601" s="874"/>
      <c r="P601" s="874"/>
      <c r="Q601" s="874"/>
      <c r="R601" s="874"/>
      <c r="S601" s="874"/>
    </row>
    <row r="602" spans="1:19">
      <c r="A602" s="863"/>
      <c r="B602" s="857"/>
      <c r="C602" s="857"/>
      <c r="D602" s="874"/>
      <c r="E602" s="874"/>
      <c r="F602" s="874"/>
      <c r="G602" s="874"/>
      <c r="H602" s="874"/>
      <c r="I602" s="874"/>
      <c r="J602" s="874"/>
      <c r="K602" s="874"/>
      <c r="L602" s="874"/>
      <c r="M602" s="874"/>
      <c r="N602" s="874"/>
      <c r="O602" s="874"/>
      <c r="P602" s="874"/>
      <c r="Q602" s="874"/>
      <c r="R602" s="874"/>
      <c r="S602" s="874"/>
    </row>
    <row r="603" spans="1:19">
      <c r="A603" s="875" t="s">
        <v>499</v>
      </c>
      <c r="B603" s="866"/>
      <c r="C603" s="866"/>
      <c r="D603" s="874"/>
      <c r="E603" s="874"/>
      <c r="F603" s="874"/>
      <c r="G603" s="874"/>
      <c r="H603" s="874"/>
      <c r="I603" s="874"/>
      <c r="J603" s="874"/>
      <c r="K603" s="874"/>
      <c r="L603" s="874"/>
      <c r="M603" s="874"/>
      <c r="N603" s="874"/>
      <c r="O603" s="874"/>
      <c r="P603" s="874"/>
      <c r="Q603" s="874"/>
      <c r="R603" s="874"/>
      <c r="S603" s="874"/>
    </row>
    <row r="604" spans="1:19">
      <c r="A604" s="863"/>
      <c r="B604" s="857"/>
      <c r="C604" s="857"/>
      <c r="D604" s="874"/>
      <c r="E604" s="874"/>
      <c r="F604" s="874"/>
      <c r="G604" s="874"/>
      <c r="H604" s="874"/>
      <c r="I604" s="874"/>
      <c r="J604" s="874"/>
      <c r="K604" s="874"/>
      <c r="L604" s="874"/>
      <c r="M604" s="874"/>
      <c r="N604" s="874"/>
      <c r="O604" s="874"/>
      <c r="P604" s="874"/>
      <c r="Q604" s="874"/>
      <c r="R604" s="874"/>
      <c r="S604" s="874"/>
    </row>
    <row r="605" spans="1:19">
      <c r="A605" s="863" t="s">
        <v>506</v>
      </c>
      <c r="B605" s="857"/>
      <c r="C605" s="857"/>
      <c r="D605" s="874"/>
      <c r="E605" s="874"/>
      <c r="F605" s="874"/>
      <c r="G605" s="874"/>
      <c r="H605" s="874"/>
      <c r="I605" s="874"/>
      <c r="J605" s="874"/>
      <c r="K605" s="874"/>
      <c r="L605" s="874"/>
      <c r="M605" s="874"/>
      <c r="N605" s="874"/>
      <c r="O605" s="874"/>
      <c r="P605" s="874"/>
      <c r="Q605" s="874"/>
      <c r="R605" s="874"/>
      <c r="S605" s="874"/>
    </row>
    <row r="606" spans="1:19">
      <c r="A606" s="863" t="s">
        <v>511</v>
      </c>
      <c r="B606" s="857"/>
      <c r="C606" s="857"/>
      <c r="D606" s="874"/>
      <c r="E606" s="874"/>
      <c r="F606" s="874"/>
      <c r="G606" s="874"/>
      <c r="H606" s="874"/>
      <c r="I606" s="874"/>
      <c r="J606" s="874"/>
      <c r="K606" s="874"/>
      <c r="L606" s="874"/>
      <c r="M606" s="874"/>
      <c r="N606" s="874"/>
      <c r="O606" s="874"/>
      <c r="P606" s="874"/>
      <c r="Q606" s="874"/>
      <c r="R606" s="874"/>
      <c r="S606" s="874"/>
    </row>
    <row r="607" spans="1:19">
      <c r="A607" s="863" t="s">
        <v>512</v>
      </c>
      <c r="B607" s="857"/>
      <c r="C607" s="857"/>
      <c r="D607" s="874"/>
      <c r="E607" s="874"/>
      <c r="F607" s="874"/>
      <c r="G607" s="874"/>
      <c r="H607" s="874"/>
      <c r="I607" s="874"/>
      <c r="J607" s="874"/>
      <c r="K607" s="874"/>
      <c r="L607" s="874"/>
      <c r="M607" s="874"/>
      <c r="N607" s="874"/>
      <c r="O607" s="874"/>
      <c r="P607" s="874"/>
      <c r="Q607" s="874"/>
      <c r="R607" s="874"/>
      <c r="S607" s="874"/>
    </row>
    <row r="608" spans="1:19">
      <c r="A608" s="863" t="s">
        <v>514</v>
      </c>
      <c r="B608" s="857"/>
      <c r="C608" s="857"/>
      <c r="D608" s="874"/>
      <c r="E608" s="874"/>
      <c r="F608" s="874"/>
      <c r="G608" s="874"/>
      <c r="H608" s="874"/>
      <c r="I608" s="874"/>
      <c r="J608" s="874"/>
      <c r="K608" s="874"/>
      <c r="L608" s="874"/>
      <c r="M608" s="874"/>
      <c r="N608" s="874"/>
      <c r="O608" s="874"/>
      <c r="P608" s="874"/>
      <c r="Q608" s="874"/>
      <c r="R608" s="874"/>
      <c r="S608" s="874"/>
    </row>
    <row r="609" spans="1:19">
      <c r="A609" s="863" t="s">
        <v>1596</v>
      </c>
      <c r="B609" s="857"/>
      <c r="C609" s="857"/>
      <c r="D609" s="874"/>
      <c r="E609" s="874"/>
      <c r="F609" s="874"/>
      <c r="G609" s="874"/>
      <c r="H609" s="874"/>
      <c r="I609" s="874"/>
      <c r="J609" s="874"/>
      <c r="K609" s="874"/>
      <c r="L609" s="874"/>
      <c r="M609" s="874"/>
      <c r="N609" s="874"/>
      <c r="O609" s="874"/>
      <c r="P609" s="874"/>
      <c r="Q609" s="874"/>
      <c r="R609" s="874"/>
      <c r="S609" s="874"/>
    </row>
    <row r="610" spans="1:19">
      <c r="A610" s="863" t="s">
        <v>1597</v>
      </c>
      <c r="B610" s="857"/>
      <c r="C610" s="857"/>
      <c r="D610" s="874"/>
      <c r="E610" s="874"/>
      <c r="F610" s="874"/>
      <c r="G610" s="874"/>
      <c r="H610" s="874"/>
      <c r="I610" s="874"/>
      <c r="J610" s="874"/>
      <c r="K610" s="874"/>
      <c r="L610" s="874"/>
      <c r="M610" s="874"/>
      <c r="N610" s="874"/>
      <c r="O610" s="874"/>
      <c r="P610" s="874"/>
      <c r="Q610" s="874"/>
      <c r="R610" s="874"/>
      <c r="S610" s="874"/>
    </row>
    <row r="611" spans="1:19">
      <c r="A611" s="857"/>
      <c r="B611" s="857"/>
      <c r="C611" s="857"/>
      <c r="D611" s="874"/>
      <c r="E611" s="874"/>
      <c r="F611" s="874"/>
      <c r="G611" s="874"/>
      <c r="H611" s="874"/>
      <c r="I611" s="874"/>
      <c r="J611" s="874"/>
      <c r="K611" s="874"/>
      <c r="L611" s="874"/>
      <c r="M611" s="874"/>
      <c r="N611" s="874"/>
      <c r="O611" s="874"/>
      <c r="P611" s="874"/>
      <c r="Q611" s="874"/>
      <c r="R611" s="874"/>
      <c r="S611" s="874"/>
    </row>
    <row r="612" spans="1:19" ht="14.25">
      <c r="A612" s="856" t="s">
        <v>144</v>
      </c>
      <c r="B612" s="867"/>
      <c r="C612" s="867"/>
      <c r="D612" s="874"/>
      <c r="E612" s="874"/>
      <c r="F612" s="874"/>
      <c r="G612" s="874"/>
      <c r="H612" s="874"/>
      <c r="I612" s="874"/>
      <c r="J612" s="874"/>
      <c r="K612" s="874"/>
      <c r="L612" s="874"/>
      <c r="M612" s="874"/>
      <c r="N612" s="874"/>
      <c r="O612" s="874"/>
      <c r="P612" s="874"/>
      <c r="Q612" s="874"/>
      <c r="R612" s="874"/>
      <c r="S612" s="874"/>
    </row>
    <row r="613" spans="1:19">
      <c r="A613" s="857"/>
      <c r="B613" s="857"/>
      <c r="C613" s="857"/>
      <c r="D613" s="874"/>
      <c r="E613" s="874"/>
      <c r="F613" s="874"/>
      <c r="G613" s="874"/>
      <c r="H613" s="874"/>
      <c r="I613" s="874"/>
      <c r="J613" s="874"/>
      <c r="K613" s="874"/>
      <c r="L613" s="874"/>
      <c r="M613" s="874"/>
      <c r="N613" s="874"/>
      <c r="O613" s="874"/>
      <c r="P613" s="874"/>
      <c r="Q613" s="874"/>
      <c r="R613" s="874"/>
      <c r="S613" s="874"/>
    </row>
    <row r="614" spans="1:19">
      <c r="A614" s="875" t="s">
        <v>903</v>
      </c>
      <c r="B614" s="866"/>
      <c r="C614" s="866"/>
      <c r="D614" s="874"/>
      <c r="E614" s="874"/>
      <c r="F614" s="874"/>
      <c r="G614" s="874"/>
      <c r="H614" s="874"/>
      <c r="I614" s="874"/>
      <c r="J614" s="874"/>
      <c r="K614" s="874"/>
      <c r="L614" s="874"/>
      <c r="M614" s="874"/>
      <c r="N614" s="874"/>
      <c r="O614" s="874"/>
      <c r="P614" s="874"/>
      <c r="Q614" s="874"/>
      <c r="R614" s="874"/>
      <c r="S614" s="874"/>
    </row>
    <row r="615" spans="1:19">
      <c r="A615" s="865"/>
      <c r="B615" s="857"/>
      <c r="C615" s="857"/>
      <c r="D615" s="874"/>
      <c r="E615" s="874"/>
      <c r="F615" s="874"/>
      <c r="G615" s="874"/>
      <c r="H615" s="874"/>
      <c r="I615" s="874"/>
      <c r="J615" s="874"/>
      <c r="K615" s="874"/>
      <c r="L615" s="874"/>
      <c r="M615" s="874"/>
      <c r="N615" s="874"/>
      <c r="O615" s="874"/>
      <c r="P615" s="874"/>
      <c r="Q615" s="874"/>
      <c r="R615" s="874"/>
      <c r="S615" s="874"/>
    </row>
    <row r="616" spans="1:19">
      <c r="A616" s="865" t="s">
        <v>441</v>
      </c>
      <c r="B616" s="857"/>
      <c r="C616" s="857"/>
      <c r="D616" s="874"/>
      <c r="E616" s="874"/>
      <c r="F616" s="874"/>
      <c r="G616" s="874"/>
      <c r="H616" s="874"/>
      <c r="I616" s="874"/>
      <c r="J616" s="874"/>
      <c r="K616" s="874"/>
      <c r="L616" s="874"/>
      <c r="M616" s="874"/>
      <c r="N616" s="874"/>
      <c r="O616" s="874"/>
      <c r="P616" s="874"/>
      <c r="Q616" s="874"/>
      <c r="R616" s="874"/>
      <c r="S616" s="874"/>
    </row>
    <row r="617" spans="1:19">
      <c r="A617" s="865" t="s">
        <v>290</v>
      </c>
      <c r="B617" s="857"/>
      <c r="C617" s="857"/>
      <c r="D617" s="874"/>
      <c r="E617" s="874"/>
      <c r="F617" s="874"/>
      <c r="G617" s="874"/>
      <c r="H617" s="874"/>
      <c r="I617" s="874"/>
      <c r="J617" s="874"/>
      <c r="K617" s="874"/>
      <c r="L617" s="874"/>
      <c r="M617" s="874"/>
      <c r="N617" s="874"/>
      <c r="O617" s="874"/>
      <c r="P617" s="874"/>
      <c r="Q617" s="874"/>
      <c r="R617" s="874"/>
      <c r="S617" s="874"/>
    </row>
    <row r="618" spans="1:19">
      <c r="A618" s="865"/>
      <c r="B618" s="857"/>
      <c r="C618" s="857"/>
      <c r="D618" s="874"/>
      <c r="E618" s="874"/>
      <c r="F618" s="874"/>
      <c r="G618" s="874"/>
      <c r="H618" s="874"/>
      <c r="I618" s="874"/>
      <c r="J618" s="874"/>
      <c r="K618" s="874"/>
      <c r="L618" s="874"/>
      <c r="M618" s="874"/>
      <c r="N618" s="874"/>
      <c r="O618" s="874"/>
      <c r="P618" s="874"/>
      <c r="Q618" s="874"/>
      <c r="R618" s="874"/>
      <c r="S618" s="874"/>
    </row>
    <row r="619" spans="1:19">
      <c r="A619" s="875" t="s">
        <v>891</v>
      </c>
      <c r="B619" s="866"/>
      <c r="C619" s="866"/>
      <c r="D619" s="874"/>
      <c r="E619" s="874"/>
      <c r="F619" s="874"/>
      <c r="G619" s="874"/>
      <c r="H619" s="874"/>
      <c r="I619" s="874"/>
      <c r="J619" s="874"/>
      <c r="K619" s="874"/>
      <c r="L619" s="874"/>
      <c r="M619" s="874"/>
      <c r="N619" s="874"/>
      <c r="O619" s="874"/>
      <c r="P619" s="874"/>
      <c r="Q619" s="874"/>
      <c r="R619" s="874"/>
      <c r="S619" s="874"/>
    </row>
    <row r="620" spans="1:19">
      <c r="A620" s="865"/>
      <c r="B620" s="857"/>
      <c r="C620" s="857"/>
      <c r="D620" s="874"/>
      <c r="E620" s="874"/>
      <c r="F620" s="874"/>
      <c r="G620" s="874"/>
      <c r="H620" s="874"/>
      <c r="I620" s="874"/>
      <c r="J620" s="874"/>
      <c r="K620" s="874"/>
      <c r="L620" s="874"/>
      <c r="M620" s="874"/>
      <c r="N620" s="874"/>
      <c r="O620" s="874"/>
      <c r="P620" s="874"/>
      <c r="Q620" s="874"/>
      <c r="R620" s="874"/>
      <c r="S620" s="874"/>
    </row>
    <row r="621" spans="1:19">
      <c r="A621" s="865" t="s">
        <v>996</v>
      </c>
      <c r="B621" s="857"/>
      <c r="C621" s="857"/>
      <c r="D621" s="874"/>
      <c r="E621" s="874"/>
      <c r="F621" s="874"/>
      <c r="G621" s="874"/>
      <c r="H621" s="874"/>
      <c r="I621" s="874"/>
      <c r="J621" s="874"/>
      <c r="K621" s="874"/>
      <c r="L621" s="874"/>
      <c r="M621" s="874"/>
      <c r="N621" s="874"/>
      <c r="O621" s="874"/>
      <c r="P621" s="874"/>
      <c r="Q621" s="874"/>
      <c r="R621" s="874"/>
      <c r="S621" s="874"/>
    </row>
    <row r="622" spans="1:19">
      <c r="A622" s="865" t="s">
        <v>997</v>
      </c>
      <c r="B622" s="857"/>
      <c r="C622" s="857"/>
      <c r="D622" s="874"/>
      <c r="E622" s="874"/>
      <c r="F622" s="874"/>
      <c r="G622" s="874"/>
      <c r="H622" s="874"/>
      <c r="I622" s="874"/>
      <c r="J622" s="874"/>
      <c r="K622" s="874"/>
      <c r="L622" s="874"/>
      <c r="M622" s="874"/>
      <c r="N622" s="874"/>
      <c r="O622" s="874"/>
      <c r="P622" s="874"/>
      <c r="Q622" s="874"/>
      <c r="R622" s="874"/>
      <c r="S622" s="874"/>
    </row>
    <row r="623" spans="1:19">
      <c r="A623" s="865" t="s">
        <v>998</v>
      </c>
      <c r="B623" s="857"/>
      <c r="C623" s="857"/>
      <c r="D623" s="874"/>
      <c r="E623" s="874"/>
      <c r="F623" s="874"/>
      <c r="G623" s="874"/>
      <c r="H623" s="874"/>
      <c r="I623" s="874"/>
      <c r="J623" s="874"/>
      <c r="K623" s="874"/>
      <c r="L623" s="874"/>
      <c r="M623" s="874"/>
      <c r="N623" s="874"/>
      <c r="O623" s="874"/>
      <c r="P623" s="874"/>
      <c r="Q623" s="874"/>
      <c r="R623" s="874"/>
      <c r="S623" s="874"/>
    </row>
    <row r="624" spans="1:19">
      <c r="A624" s="865" t="s">
        <v>999</v>
      </c>
      <c r="B624" s="857"/>
      <c r="C624" s="857"/>
      <c r="D624" s="874"/>
      <c r="E624" s="874"/>
      <c r="F624" s="874"/>
      <c r="G624" s="874"/>
      <c r="H624" s="874"/>
      <c r="I624" s="874"/>
      <c r="J624" s="874"/>
      <c r="K624" s="874"/>
      <c r="L624" s="874"/>
      <c r="M624" s="874"/>
      <c r="N624" s="874"/>
      <c r="O624" s="874"/>
      <c r="P624" s="874"/>
      <c r="Q624" s="874"/>
      <c r="R624" s="874"/>
      <c r="S624" s="874"/>
    </row>
    <row r="625" spans="1:19">
      <c r="A625" s="865" t="s">
        <v>904</v>
      </c>
      <c r="B625" s="857"/>
      <c r="C625" s="857"/>
      <c r="D625" s="874"/>
      <c r="E625" s="874"/>
      <c r="F625" s="874"/>
      <c r="G625" s="874"/>
      <c r="H625" s="874"/>
      <c r="I625" s="874"/>
      <c r="J625" s="874"/>
      <c r="K625" s="874"/>
      <c r="L625" s="874"/>
      <c r="M625" s="874"/>
      <c r="N625" s="874"/>
      <c r="O625" s="874"/>
      <c r="P625" s="874"/>
      <c r="Q625" s="874"/>
      <c r="R625" s="874"/>
      <c r="S625" s="874"/>
    </row>
    <row r="626" spans="1:19">
      <c r="A626" s="865" t="s">
        <v>905</v>
      </c>
      <c r="B626" s="857"/>
      <c r="C626" s="857"/>
      <c r="D626" s="874"/>
      <c r="E626" s="874"/>
      <c r="F626" s="874"/>
      <c r="G626" s="874"/>
      <c r="H626" s="874"/>
      <c r="I626" s="874"/>
      <c r="J626" s="874"/>
      <c r="K626" s="874"/>
      <c r="L626" s="874"/>
      <c r="M626" s="874"/>
      <c r="N626" s="874"/>
      <c r="O626" s="874"/>
      <c r="P626" s="874"/>
      <c r="Q626" s="874"/>
      <c r="R626" s="874"/>
      <c r="S626" s="874"/>
    </row>
    <row r="627" spans="1:19">
      <c r="A627" s="865"/>
      <c r="B627" s="857"/>
      <c r="C627" s="857"/>
      <c r="D627" s="874"/>
      <c r="E627" s="874"/>
      <c r="F627" s="874"/>
      <c r="G627" s="874"/>
      <c r="H627" s="874"/>
      <c r="I627" s="874"/>
      <c r="J627" s="874"/>
      <c r="K627" s="874"/>
      <c r="L627" s="874"/>
      <c r="M627" s="874"/>
      <c r="N627" s="874"/>
      <c r="O627" s="874"/>
      <c r="P627" s="874"/>
      <c r="Q627" s="874"/>
      <c r="R627" s="874"/>
      <c r="S627" s="874"/>
    </row>
    <row r="628" spans="1:19">
      <c r="A628" s="875" t="s">
        <v>895</v>
      </c>
      <c r="B628" s="866"/>
      <c r="C628" s="866"/>
      <c r="D628" s="874"/>
      <c r="E628" s="874"/>
      <c r="F628" s="874"/>
      <c r="G628" s="874"/>
      <c r="H628" s="874"/>
      <c r="I628" s="874"/>
      <c r="J628" s="874"/>
      <c r="K628" s="874"/>
      <c r="L628" s="874"/>
      <c r="M628" s="874"/>
      <c r="N628" s="874"/>
      <c r="O628" s="874"/>
      <c r="P628" s="874"/>
      <c r="Q628" s="874"/>
      <c r="R628" s="874"/>
      <c r="S628" s="874"/>
    </row>
    <row r="629" spans="1:19">
      <c r="A629" s="865"/>
      <c r="B629" s="857"/>
      <c r="C629" s="865"/>
      <c r="D629" s="874"/>
      <c r="E629" s="874"/>
      <c r="F629" s="874"/>
      <c r="G629" s="874"/>
      <c r="H629" s="874"/>
      <c r="I629" s="874"/>
      <c r="J629" s="874"/>
      <c r="K629" s="874"/>
      <c r="L629" s="874"/>
      <c r="M629" s="874"/>
      <c r="N629" s="874"/>
      <c r="O629" s="874"/>
      <c r="P629" s="874"/>
      <c r="Q629" s="874"/>
      <c r="R629" s="874"/>
      <c r="S629" s="874"/>
    </row>
    <row r="630" spans="1:19">
      <c r="A630" s="865" t="s">
        <v>731</v>
      </c>
      <c r="B630" s="857"/>
      <c r="C630" s="857"/>
      <c r="D630" s="874"/>
      <c r="E630" s="874"/>
      <c r="F630" s="874"/>
      <c r="G630" s="874"/>
      <c r="H630" s="874"/>
      <c r="I630" s="874"/>
      <c r="J630" s="874"/>
      <c r="K630" s="874"/>
      <c r="L630" s="874"/>
      <c r="M630" s="874"/>
      <c r="N630" s="874"/>
      <c r="O630" s="874"/>
      <c r="P630" s="874"/>
      <c r="Q630" s="874"/>
      <c r="R630" s="874"/>
      <c r="S630" s="874"/>
    </row>
    <row r="631" spans="1:19">
      <c r="A631" s="865" t="s">
        <v>732</v>
      </c>
      <c r="B631" s="857"/>
      <c r="C631" s="857"/>
      <c r="D631" s="874"/>
      <c r="E631" s="874"/>
      <c r="F631" s="874"/>
      <c r="G631" s="874"/>
      <c r="H631" s="874"/>
      <c r="I631" s="874"/>
      <c r="J631" s="874"/>
      <c r="K631" s="874"/>
      <c r="L631" s="874"/>
      <c r="M631" s="874"/>
      <c r="N631" s="874"/>
      <c r="O631" s="874"/>
      <c r="P631" s="874"/>
      <c r="Q631" s="874"/>
      <c r="R631" s="874"/>
      <c r="S631" s="874"/>
    </row>
    <row r="632" spans="1:19">
      <c r="A632" s="865" t="s">
        <v>733</v>
      </c>
      <c r="B632" s="857"/>
      <c r="C632" s="857"/>
      <c r="D632" s="874"/>
      <c r="E632" s="874"/>
      <c r="F632" s="874"/>
      <c r="G632" s="874"/>
      <c r="H632" s="874"/>
      <c r="I632" s="874"/>
      <c r="J632" s="874"/>
      <c r="K632" s="874"/>
      <c r="L632" s="874"/>
      <c r="M632" s="874"/>
      <c r="N632" s="874"/>
      <c r="O632" s="874"/>
      <c r="P632" s="874"/>
      <c r="Q632" s="874"/>
      <c r="R632" s="874"/>
      <c r="S632" s="874"/>
    </row>
    <row r="633" spans="1:19">
      <c r="A633" s="865" t="s">
        <v>40</v>
      </c>
      <c r="B633" s="857"/>
      <c r="C633" s="857"/>
      <c r="D633" s="874"/>
      <c r="E633" s="874"/>
      <c r="F633" s="874"/>
      <c r="G633" s="874"/>
      <c r="H633" s="874"/>
      <c r="I633" s="874"/>
      <c r="J633" s="874"/>
      <c r="K633" s="874"/>
      <c r="L633" s="874"/>
      <c r="M633" s="874"/>
      <c r="N633" s="874"/>
      <c r="O633" s="874"/>
      <c r="P633" s="874"/>
      <c r="Q633" s="874"/>
      <c r="R633" s="874"/>
      <c r="S633" s="874"/>
    </row>
    <row r="634" spans="1:19">
      <c r="A634" s="857"/>
      <c r="B634" s="857"/>
      <c r="C634" s="857"/>
      <c r="D634" s="874"/>
      <c r="E634" s="874"/>
      <c r="F634" s="874"/>
      <c r="G634" s="874"/>
      <c r="H634" s="874"/>
      <c r="I634" s="874"/>
      <c r="J634" s="874"/>
      <c r="K634" s="874"/>
      <c r="L634" s="874"/>
      <c r="M634" s="874"/>
      <c r="N634" s="874"/>
      <c r="O634" s="874"/>
      <c r="P634" s="874"/>
      <c r="Q634" s="874"/>
      <c r="R634" s="874"/>
      <c r="S634" s="874"/>
    </row>
    <row r="635" spans="1:19">
      <c r="A635" s="875" t="s">
        <v>1706</v>
      </c>
      <c r="B635" s="866"/>
      <c r="C635" s="866"/>
      <c r="D635" s="874"/>
      <c r="E635" s="874"/>
      <c r="F635" s="874"/>
      <c r="G635" s="874"/>
      <c r="H635" s="874"/>
      <c r="I635" s="874"/>
      <c r="J635" s="874"/>
      <c r="K635" s="874"/>
      <c r="L635" s="874"/>
      <c r="M635" s="874"/>
      <c r="N635" s="874"/>
      <c r="O635" s="874"/>
      <c r="P635" s="874"/>
      <c r="Q635" s="874"/>
      <c r="R635" s="874"/>
      <c r="S635" s="874"/>
    </row>
    <row r="636" spans="1:19">
      <c r="A636" s="865"/>
      <c r="B636" s="857"/>
      <c r="C636" s="857"/>
      <c r="D636" s="874"/>
      <c r="E636" s="874"/>
      <c r="F636" s="874"/>
      <c r="G636" s="874"/>
      <c r="H636" s="874"/>
      <c r="I636" s="874"/>
      <c r="J636" s="874"/>
      <c r="K636" s="874"/>
      <c r="L636" s="874"/>
      <c r="M636" s="874"/>
      <c r="N636" s="874"/>
      <c r="O636" s="874"/>
      <c r="P636" s="874"/>
      <c r="Q636" s="874"/>
      <c r="R636" s="874"/>
      <c r="S636" s="874"/>
    </row>
    <row r="637" spans="1:19">
      <c r="A637" s="865" t="s">
        <v>1707</v>
      </c>
      <c r="B637" s="857"/>
      <c r="C637" s="857"/>
      <c r="D637" s="874"/>
      <c r="E637" s="874"/>
      <c r="F637" s="874"/>
      <c r="G637" s="874"/>
      <c r="H637" s="874"/>
      <c r="I637" s="874"/>
      <c r="J637" s="874"/>
      <c r="K637" s="874"/>
      <c r="L637" s="874"/>
      <c r="M637" s="874"/>
      <c r="N637" s="874"/>
      <c r="O637" s="874"/>
      <c r="P637" s="874"/>
      <c r="Q637" s="874"/>
      <c r="R637" s="874"/>
      <c r="S637" s="874"/>
    </row>
    <row r="638" spans="1:19">
      <c r="A638" s="865" t="s">
        <v>1708</v>
      </c>
      <c r="B638" s="857"/>
      <c r="C638" s="857"/>
      <c r="D638" s="874"/>
      <c r="E638" s="874"/>
      <c r="F638" s="874"/>
      <c r="G638" s="874"/>
      <c r="H638" s="874"/>
      <c r="I638" s="874"/>
      <c r="J638" s="874"/>
      <c r="K638" s="874"/>
      <c r="L638" s="874"/>
      <c r="M638" s="874"/>
      <c r="N638" s="874"/>
      <c r="O638" s="874"/>
      <c r="P638" s="874"/>
      <c r="Q638" s="874"/>
      <c r="R638" s="874"/>
      <c r="S638" s="874"/>
    </row>
    <row r="639" spans="1:19">
      <c r="A639" s="865" t="s">
        <v>1709</v>
      </c>
      <c r="B639" s="857"/>
      <c r="C639" s="857"/>
      <c r="D639" s="874"/>
      <c r="E639" s="874"/>
      <c r="F639" s="874"/>
      <c r="G639" s="874"/>
      <c r="H639" s="874"/>
      <c r="I639" s="874"/>
      <c r="J639" s="874"/>
      <c r="K639" s="874"/>
      <c r="L639" s="874"/>
      <c r="M639" s="874"/>
      <c r="N639" s="874"/>
      <c r="O639" s="874"/>
      <c r="P639" s="874"/>
      <c r="Q639" s="874"/>
      <c r="R639" s="874"/>
      <c r="S639" s="874"/>
    </row>
    <row r="640" spans="1:19">
      <c r="A640" s="865" t="s">
        <v>1706</v>
      </c>
      <c r="B640" s="857"/>
      <c r="C640" s="857"/>
      <c r="D640" s="874"/>
      <c r="E640" s="874"/>
      <c r="F640" s="874"/>
      <c r="G640" s="874"/>
      <c r="H640" s="874"/>
      <c r="I640" s="874"/>
      <c r="J640" s="874"/>
      <c r="K640" s="874"/>
      <c r="L640" s="874"/>
      <c r="M640" s="874"/>
      <c r="N640" s="874"/>
      <c r="O640" s="874"/>
      <c r="P640" s="874"/>
      <c r="Q640" s="874"/>
      <c r="R640" s="874"/>
      <c r="S640" s="874"/>
    </row>
    <row r="641" spans="1:19">
      <c r="A641" s="865" t="s">
        <v>1710</v>
      </c>
      <c r="B641" s="857"/>
      <c r="C641" s="857"/>
      <c r="D641" s="874"/>
      <c r="E641" s="874"/>
      <c r="F641" s="874"/>
      <c r="G641" s="874"/>
      <c r="H641" s="874"/>
      <c r="I641" s="874"/>
      <c r="J641" s="874"/>
      <c r="K641" s="874"/>
      <c r="L641" s="874"/>
      <c r="M641" s="874"/>
      <c r="N641" s="874"/>
      <c r="O641" s="874"/>
      <c r="P641" s="874"/>
      <c r="Q641" s="874"/>
      <c r="R641" s="874"/>
      <c r="S641" s="874"/>
    </row>
    <row r="642" spans="1:19">
      <c r="A642" s="865" t="s">
        <v>1711</v>
      </c>
      <c r="B642" s="857"/>
      <c r="C642" s="857"/>
      <c r="D642" s="874"/>
      <c r="E642" s="874"/>
      <c r="F642" s="874"/>
      <c r="G642" s="874"/>
      <c r="H642" s="874"/>
      <c r="I642" s="874"/>
      <c r="J642" s="874"/>
      <c r="K642" s="874"/>
      <c r="L642" s="874"/>
      <c r="M642" s="874"/>
      <c r="N642" s="874"/>
      <c r="O642" s="874"/>
      <c r="P642" s="874"/>
      <c r="Q642" s="874"/>
      <c r="R642" s="874"/>
      <c r="S642" s="874"/>
    </row>
    <row r="643" spans="1:19">
      <c r="A643" s="865"/>
      <c r="B643" s="857"/>
      <c r="C643" s="857"/>
      <c r="D643" s="874"/>
      <c r="E643" s="874"/>
      <c r="F643" s="874"/>
      <c r="G643" s="874"/>
      <c r="H643" s="874"/>
      <c r="I643" s="874"/>
      <c r="J643" s="874"/>
      <c r="K643" s="874"/>
      <c r="L643" s="874"/>
      <c r="M643" s="874"/>
      <c r="N643" s="874"/>
      <c r="O643" s="874"/>
      <c r="P643" s="874"/>
      <c r="Q643" s="874"/>
      <c r="R643" s="874"/>
      <c r="S643" s="874"/>
    </row>
    <row r="644" spans="1:19" ht="14.25">
      <c r="A644" s="856" t="s">
        <v>102</v>
      </c>
      <c r="B644" s="867"/>
      <c r="C644" s="867"/>
      <c r="D644" s="874"/>
      <c r="E644" s="874"/>
      <c r="F644" s="874"/>
      <c r="G644" s="874"/>
      <c r="H644" s="874"/>
      <c r="I644" s="874"/>
      <c r="J644" s="874"/>
      <c r="K644" s="874"/>
      <c r="L644" s="874"/>
      <c r="M644" s="874"/>
      <c r="N644" s="874"/>
      <c r="O644" s="874"/>
      <c r="P644" s="874"/>
      <c r="Q644" s="874"/>
      <c r="R644" s="874"/>
      <c r="S644" s="874"/>
    </row>
    <row r="645" spans="1:19">
      <c r="A645" s="857"/>
      <c r="B645" s="857"/>
      <c r="C645" s="857"/>
      <c r="D645" s="874"/>
      <c r="E645" s="874"/>
      <c r="F645" s="874"/>
      <c r="G645" s="874"/>
      <c r="H645" s="874"/>
      <c r="I645" s="874"/>
      <c r="J645" s="874"/>
      <c r="K645" s="874"/>
      <c r="L645" s="874"/>
      <c r="M645" s="874"/>
      <c r="N645" s="874"/>
      <c r="O645" s="874"/>
      <c r="P645" s="874"/>
      <c r="Q645" s="874"/>
      <c r="R645" s="874"/>
      <c r="S645" s="874"/>
    </row>
    <row r="646" spans="1:19">
      <c r="A646" s="875" t="s">
        <v>102</v>
      </c>
      <c r="B646" s="866"/>
      <c r="C646" s="866"/>
      <c r="D646" s="874"/>
      <c r="E646" s="874"/>
      <c r="F646" s="874"/>
      <c r="G646" s="874"/>
      <c r="H646" s="874"/>
      <c r="I646" s="874"/>
      <c r="J646" s="874"/>
      <c r="K646" s="874"/>
      <c r="L646" s="874"/>
      <c r="M646" s="874"/>
      <c r="N646" s="874"/>
      <c r="O646" s="874"/>
      <c r="P646" s="874"/>
      <c r="Q646" s="874"/>
      <c r="R646" s="874"/>
      <c r="S646" s="874"/>
    </row>
    <row r="647" spans="1:19">
      <c r="A647" s="857"/>
      <c r="B647" s="857"/>
      <c r="C647" s="857"/>
      <c r="D647" s="874"/>
      <c r="E647" s="874"/>
      <c r="F647" s="874"/>
      <c r="G647" s="874"/>
      <c r="H647" s="874"/>
      <c r="I647" s="874"/>
      <c r="J647" s="874"/>
      <c r="K647" s="874"/>
      <c r="L647" s="874"/>
      <c r="M647" s="874"/>
      <c r="N647" s="874"/>
      <c r="O647" s="874"/>
      <c r="P647" s="874"/>
      <c r="Q647" s="874"/>
      <c r="R647" s="874"/>
      <c r="S647" s="874"/>
    </row>
    <row r="648" spans="1:19">
      <c r="A648" s="857" t="s">
        <v>883</v>
      </c>
      <c r="B648" s="857"/>
      <c r="C648" s="857"/>
      <c r="D648" s="874"/>
      <c r="E648" s="874"/>
      <c r="F648" s="874"/>
      <c r="G648" s="874"/>
      <c r="H648" s="874"/>
      <c r="I648" s="874"/>
      <c r="J648" s="874"/>
      <c r="K648" s="874"/>
      <c r="L648" s="874"/>
      <c r="M648" s="874"/>
      <c r="N648" s="874"/>
      <c r="O648" s="874"/>
      <c r="P648" s="874"/>
      <c r="Q648" s="874"/>
      <c r="R648" s="874"/>
      <c r="S648" s="874"/>
    </row>
    <row r="649" spans="1:19">
      <c r="A649" s="857" t="s">
        <v>453</v>
      </c>
      <c r="B649" s="857"/>
      <c r="C649" s="857"/>
      <c r="D649" s="877"/>
      <c r="E649" s="874"/>
      <c r="F649" s="874"/>
      <c r="G649" s="874"/>
      <c r="H649" s="874"/>
      <c r="I649" s="874"/>
      <c r="J649" s="874"/>
      <c r="K649" s="874"/>
      <c r="L649" s="874"/>
      <c r="M649" s="874"/>
      <c r="N649" s="874"/>
      <c r="O649" s="874"/>
      <c r="P649" s="874"/>
      <c r="Q649" s="874"/>
      <c r="R649" s="874"/>
      <c r="S649" s="874"/>
    </row>
    <row r="650" spans="1:19">
      <c r="A650" s="878" t="s">
        <v>562</v>
      </c>
      <c r="B650" s="878"/>
      <c r="C650" s="857"/>
      <c r="D650" s="877"/>
      <c r="E650" s="874"/>
      <c r="F650" s="874"/>
      <c r="G650" s="874"/>
      <c r="H650" s="874"/>
      <c r="I650" s="874"/>
      <c r="J650" s="874"/>
      <c r="K650" s="874"/>
      <c r="L650" s="874"/>
      <c r="M650" s="874"/>
      <c r="N650" s="874"/>
      <c r="O650" s="874"/>
      <c r="P650" s="874"/>
      <c r="Q650" s="874"/>
      <c r="R650" s="874"/>
      <c r="S650" s="874"/>
    </row>
    <row r="651" spans="1:19">
      <c r="A651" s="878" t="s">
        <v>932</v>
      </c>
      <c r="B651" s="878"/>
      <c r="C651" s="857"/>
      <c r="D651" s="877"/>
      <c r="E651" s="874"/>
      <c r="F651" s="874"/>
      <c r="G651" s="874"/>
      <c r="H651" s="874"/>
      <c r="I651" s="874"/>
      <c r="J651" s="874"/>
      <c r="K651" s="874"/>
      <c r="L651" s="874"/>
      <c r="M651" s="874"/>
      <c r="N651" s="874"/>
      <c r="O651" s="874"/>
      <c r="P651" s="874"/>
      <c r="Q651" s="874"/>
      <c r="R651" s="874"/>
      <c r="S651" s="874"/>
    </row>
    <row r="652" spans="1:19">
      <c r="A652" s="878" t="s">
        <v>841</v>
      </c>
      <c r="B652" s="878"/>
      <c r="C652" s="857"/>
      <c r="D652" s="877"/>
      <c r="E652" s="874"/>
      <c r="F652" s="874"/>
      <c r="G652" s="874"/>
      <c r="H652" s="874"/>
      <c r="I652" s="874"/>
      <c r="J652" s="874"/>
      <c r="K652" s="874"/>
      <c r="L652" s="874"/>
      <c r="M652" s="874"/>
      <c r="N652" s="874"/>
      <c r="O652" s="874"/>
      <c r="P652" s="874"/>
      <c r="Q652" s="874"/>
      <c r="R652" s="874"/>
      <c r="S652" s="874"/>
    </row>
    <row r="653" spans="1:19">
      <c r="A653" s="878" t="s">
        <v>842</v>
      </c>
      <c r="B653" s="878"/>
      <c r="C653" s="857"/>
      <c r="D653" s="877"/>
      <c r="E653" s="874"/>
      <c r="F653" s="874"/>
      <c r="G653" s="874"/>
      <c r="H653" s="874"/>
      <c r="I653" s="874"/>
      <c r="J653" s="874"/>
      <c r="K653" s="874"/>
      <c r="L653" s="874"/>
      <c r="M653" s="874"/>
      <c r="N653" s="874"/>
      <c r="O653" s="874"/>
      <c r="P653" s="874"/>
      <c r="Q653" s="874"/>
      <c r="R653" s="874"/>
      <c r="S653" s="874"/>
    </row>
    <row r="654" spans="1:19">
      <c r="A654" s="878" t="s">
        <v>454</v>
      </c>
      <c r="B654" s="878"/>
      <c r="C654" s="857"/>
      <c r="D654" s="877"/>
      <c r="E654" s="874"/>
      <c r="F654" s="874"/>
      <c r="G654" s="874"/>
      <c r="H654" s="874"/>
      <c r="I654" s="874"/>
      <c r="J654" s="874"/>
      <c r="K654" s="874"/>
      <c r="L654" s="874"/>
      <c r="M654" s="874"/>
      <c r="N654" s="874"/>
      <c r="O654" s="874"/>
      <c r="P654" s="874"/>
      <c r="Q654" s="874"/>
      <c r="R654" s="874"/>
      <c r="S654" s="874"/>
    </row>
    <row r="655" spans="1:19">
      <c r="A655" s="878" t="s">
        <v>563</v>
      </c>
      <c r="B655" s="878"/>
      <c r="C655" s="857"/>
      <c r="D655" s="877"/>
      <c r="E655" s="874"/>
      <c r="F655" s="874"/>
      <c r="G655" s="874"/>
      <c r="H655" s="874"/>
      <c r="I655" s="874"/>
      <c r="J655" s="874"/>
      <c r="K655" s="874"/>
      <c r="L655" s="874"/>
      <c r="M655" s="874"/>
      <c r="N655" s="874"/>
      <c r="O655" s="874"/>
      <c r="P655" s="874"/>
      <c r="Q655" s="874"/>
      <c r="R655" s="874"/>
      <c r="S655" s="874"/>
    </row>
    <row r="656" spans="1:19">
      <c r="A656" s="878" t="s">
        <v>843</v>
      </c>
      <c r="B656" s="878"/>
      <c r="C656" s="857"/>
      <c r="D656" s="877"/>
      <c r="E656" s="874"/>
      <c r="F656" s="874"/>
      <c r="G656" s="874"/>
      <c r="H656" s="874"/>
      <c r="I656" s="874"/>
      <c r="J656" s="874"/>
      <c r="K656" s="874"/>
      <c r="L656" s="874"/>
      <c r="M656" s="874"/>
      <c r="N656" s="874"/>
      <c r="O656" s="874"/>
      <c r="P656" s="874"/>
      <c r="Q656" s="874"/>
      <c r="R656" s="874"/>
      <c r="S656" s="874"/>
    </row>
    <row r="657" spans="1:19">
      <c r="A657" s="878" t="s">
        <v>564</v>
      </c>
      <c r="B657" s="878"/>
      <c r="C657" s="857"/>
      <c r="D657" s="877"/>
      <c r="E657" s="874"/>
      <c r="F657" s="874"/>
      <c r="G657" s="874"/>
      <c r="H657" s="874"/>
      <c r="I657" s="874"/>
      <c r="J657" s="874"/>
      <c r="K657" s="874"/>
      <c r="L657" s="874"/>
      <c r="M657" s="874"/>
      <c r="N657" s="874"/>
      <c r="O657" s="874"/>
      <c r="P657" s="874"/>
      <c r="Q657" s="874"/>
      <c r="R657" s="874"/>
      <c r="S657" s="874"/>
    </row>
    <row r="658" spans="1:19">
      <c r="A658" s="878" t="s">
        <v>565</v>
      </c>
      <c r="B658" s="878"/>
      <c r="C658" s="857"/>
      <c r="D658" s="877"/>
      <c r="E658" s="874"/>
      <c r="F658" s="874"/>
      <c r="G658" s="874"/>
      <c r="H658" s="874"/>
      <c r="I658" s="874"/>
      <c r="J658" s="874"/>
      <c r="K658" s="874"/>
      <c r="L658" s="874"/>
      <c r="M658" s="874"/>
      <c r="N658" s="874"/>
      <c r="O658" s="874"/>
      <c r="P658" s="874"/>
      <c r="Q658" s="874"/>
      <c r="R658" s="874"/>
      <c r="S658" s="874"/>
    </row>
    <row r="659" spans="1:19">
      <c r="A659" s="878" t="s">
        <v>566</v>
      </c>
      <c r="B659" s="878"/>
      <c r="C659" s="857"/>
      <c r="D659" s="877"/>
      <c r="E659" s="874"/>
      <c r="F659" s="874"/>
      <c r="G659" s="874"/>
      <c r="H659" s="874"/>
      <c r="I659" s="874"/>
      <c r="J659" s="874"/>
      <c r="K659" s="874"/>
      <c r="L659" s="874"/>
      <c r="M659" s="874"/>
      <c r="N659" s="874"/>
      <c r="O659" s="874"/>
      <c r="P659" s="874"/>
      <c r="Q659" s="874"/>
      <c r="R659" s="874"/>
      <c r="S659" s="874"/>
    </row>
    <row r="660" spans="1:19">
      <c r="A660" s="878" t="s">
        <v>567</v>
      </c>
      <c r="B660" s="878"/>
      <c r="C660" s="857"/>
      <c r="D660" s="877"/>
      <c r="E660" s="874"/>
      <c r="F660" s="874"/>
      <c r="G660" s="874"/>
      <c r="H660" s="874"/>
      <c r="I660" s="874"/>
      <c r="J660" s="874"/>
      <c r="K660" s="874"/>
      <c r="L660" s="874"/>
      <c r="M660" s="874"/>
      <c r="N660" s="874"/>
      <c r="O660" s="874"/>
      <c r="P660" s="874"/>
      <c r="Q660" s="874"/>
      <c r="R660" s="874"/>
      <c r="S660" s="874"/>
    </row>
    <row r="661" spans="1:19">
      <c r="A661" s="878" t="s">
        <v>568</v>
      </c>
      <c r="B661" s="878"/>
      <c r="C661" s="857"/>
      <c r="D661" s="877"/>
      <c r="E661" s="874"/>
      <c r="F661" s="874"/>
      <c r="G661" s="874"/>
      <c r="H661" s="874"/>
      <c r="I661" s="874"/>
      <c r="J661" s="874"/>
      <c r="K661" s="874"/>
      <c r="L661" s="874"/>
      <c r="M661" s="874"/>
      <c r="N661" s="874"/>
      <c r="O661" s="874"/>
      <c r="P661" s="874"/>
      <c r="Q661" s="874"/>
      <c r="R661" s="874"/>
      <c r="S661" s="874"/>
    </row>
    <row r="662" spans="1:19">
      <c r="A662" s="878" t="s">
        <v>569</v>
      </c>
      <c r="B662" s="878"/>
      <c r="C662" s="857"/>
      <c r="D662" s="877"/>
      <c r="E662" s="874"/>
      <c r="F662" s="874"/>
      <c r="G662" s="874"/>
      <c r="H662" s="874"/>
      <c r="I662" s="874"/>
      <c r="J662" s="874"/>
      <c r="K662" s="874"/>
      <c r="L662" s="874"/>
      <c r="M662" s="874"/>
      <c r="N662" s="874"/>
      <c r="O662" s="874"/>
      <c r="P662" s="874"/>
      <c r="Q662" s="874"/>
      <c r="R662" s="874"/>
      <c r="S662" s="874"/>
    </row>
    <row r="663" spans="1:19">
      <c r="A663" s="878" t="s">
        <v>570</v>
      </c>
      <c r="B663" s="878"/>
      <c r="C663" s="857"/>
      <c r="D663" s="877"/>
      <c r="E663" s="874"/>
      <c r="F663" s="874"/>
      <c r="G663" s="874"/>
      <c r="H663" s="874"/>
      <c r="I663" s="874"/>
      <c r="J663" s="874"/>
      <c r="K663" s="874"/>
      <c r="L663" s="874"/>
      <c r="M663" s="874"/>
      <c r="N663" s="874"/>
      <c r="O663" s="874"/>
      <c r="P663" s="874"/>
      <c r="Q663" s="874"/>
      <c r="R663" s="874"/>
      <c r="S663" s="874"/>
    </row>
    <row r="664" spans="1:19">
      <c r="A664" s="878" t="s">
        <v>571</v>
      </c>
      <c r="B664" s="878"/>
      <c r="C664" s="857"/>
      <c r="D664" s="877"/>
      <c r="E664" s="874"/>
      <c r="F664" s="874"/>
      <c r="G664" s="874"/>
      <c r="H664" s="874"/>
      <c r="I664" s="874"/>
      <c r="J664" s="874"/>
      <c r="K664" s="874"/>
      <c r="L664" s="874"/>
      <c r="M664" s="874"/>
      <c r="N664" s="874"/>
      <c r="O664" s="874"/>
      <c r="P664" s="874"/>
      <c r="Q664" s="874"/>
      <c r="R664" s="874"/>
      <c r="S664" s="874"/>
    </row>
    <row r="665" spans="1:19" ht="14.25">
      <c r="A665" s="878" t="s">
        <v>357</v>
      </c>
      <c r="B665" s="878"/>
      <c r="C665" s="878"/>
      <c r="D665" s="290"/>
      <c r="E665" s="874"/>
      <c r="F665" s="874"/>
      <c r="G665" s="874"/>
      <c r="H665" s="874"/>
      <c r="I665" s="874"/>
      <c r="J665" s="874"/>
      <c r="K665" s="874"/>
      <c r="L665" s="874"/>
      <c r="M665" s="874"/>
      <c r="N665" s="874"/>
      <c r="O665" s="874"/>
      <c r="P665" s="874"/>
      <c r="Q665" s="874"/>
      <c r="R665" s="874"/>
      <c r="S665" s="874"/>
    </row>
    <row r="666" spans="1:19" ht="14.25">
      <c r="A666" s="878" t="s">
        <v>572</v>
      </c>
      <c r="B666" s="878"/>
      <c r="C666" s="878"/>
      <c r="D666" s="290"/>
      <c r="E666" s="874"/>
      <c r="F666" s="874"/>
      <c r="G666" s="874"/>
      <c r="H666" s="874"/>
      <c r="I666" s="874"/>
      <c r="J666" s="874"/>
      <c r="K666" s="874"/>
      <c r="L666" s="874"/>
      <c r="M666" s="874"/>
      <c r="N666" s="874"/>
      <c r="O666" s="874"/>
      <c r="P666" s="874"/>
      <c r="Q666" s="874"/>
      <c r="R666" s="874"/>
      <c r="S666" s="874"/>
    </row>
    <row r="667" spans="1:19" ht="14.25">
      <c r="A667" s="878" t="s">
        <v>573</v>
      </c>
      <c r="B667" s="878"/>
      <c r="C667" s="878"/>
      <c r="D667" s="290"/>
      <c r="E667" s="874"/>
      <c r="F667" s="874"/>
      <c r="G667" s="874"/>
      <c r="H667" s="874"/>
      <c r="I667" s="874"/>
      <c r="J667" s="874"/>
      <c r="K667" s="874"/>
      <c r="L667" s="874"/>
      <c r="M667" s="874"/>
      <c r="N667" s="874"/>
      <c r="O667" s="874"/>
      <c r="P667" s="874"/>
      <c r="Q667" s="874"/>
      <c r="R667" s="874"/>
      <c r="S667" s="874"/>
    </row>
    <row r="668" spans="1:19" ht="14.25">
      <c r="A668" s="878" t="s">
        <v>574</v>
      </c>
      <c r="B668" s="878"/>
      <c r="C668" s="878"/>
      <c r="D668" s="290"/>
      <c r="E668" s="874"/>
      <c r="F668" s="874"/>
      <c r="G668" s="874"/>
      <c r="H668" s="874"/>
      <c r="I668" s="874"/>
      <c r="J668" s="874"/>
      <c r="K668" s="874"/>
      <c r="L668" s="874"/>
      <c r="M668" s="874"/>
      <c r="N668" s="874"/>
      <c r="O668" s="874"/>
      <c r="P668" s="874"/>
      <c r="Q668" s="874"/>
      <c r="R668" s="874"/>
      <c r="S668" s="874"/>
    </row>
    <row r="669" spans="1:19" ht="14.25">
      <c r="A669" s="878" t="s">
        <v>575</v>
      </c>
      <c r="B669" s="878"/>
      <c r="C669" s="878"/>
      <c r="D669" s="290"/>
      <c r="E669" s="874"/>
      <c r="F669" s="874"/>
      <c r="G669" s="874"/>
      <c r="H669" s="874"/>
      <c r="I669" s="874"/>
      <c r="J669" s="874"/>
      <c r="K669" s="874"/>
      <c r="L669" s="874"/>
      <c r="M669" s="874"/>
      <c r="N669" s="874"/>
      <c r="O669" s="874"/>
      <c r="P669" s="874"/>
      <c r="Q669" s="874"/>
      <c r="R669" s="874"/>
      <c r="S669" s="874"/>
    </row>
    <row r="670" spans="1:19" ht="14.25">
      <c r="A670" s="878" t="s">
        <v>539</v>
      </c>
      <c r="B670" s="878"/>
      <c r="C670" s="878"/>
      <c r="D670" s="290"/>
      <c r="E670" s="874"/>
      <c r="F670" s="874"/>
      <c r="G670" s="874"/>
      <c r="H670" s="874"/>
      <c r="I670" s="874"/>
      <c r="J670" s="874"/>
      <c r="K670" s="874"/>
      <c r="L670" s="874"/>
      <c r="M670" s="874"/>
      <c r="N670" s="874"/>
      <c r="O670" s="874"/>
      <c r="P670" s="874"/>
      <c r="Q670" s="874"/>
      <c r="R670" s="874"/>
      <c r="S670" s="874"/>
    </row>
    <row r="671" spans="1:19" ht="14.25">
      <c r="A671" s="878" t="s">
        <v>540</v>
      </c>
      <c r="B671" s="878"/>
      <c r="C671" s="878"/>
      <c r="D671" s="290"/>
      <c r="E671" s="874"/>
      <c r="F671" s="874"/>
      <c r="G671" s="874"/>
      <c r="H671" s="874"/>
      <c r="I671" s="874"/>
      <c r="J671" s="874"/>
      <c r="K671" s="874"/>
      <c r="L671" s="874"/>
      <c r="M671" s="874"/>
      <c r="N671" s="874"/>
      <c r="O671" s="874"/>
      <c r="P671" s="874"/>
      <c r="Q671" s="874"/>
      <c r="R671" s="874"/>
      <c r="S671" s="874"/>
    </row>
    <row r="672" spans="1:19" ht="14.25">
      <c r="A672" s="878" t="s">
        <v>577</v>
      </c>
      <c r="B672" s="878"/>
      <c r="C672" s="878"/>
      <c r="D672" s="290"/>
      <c r="E672" s="874"/>
      <c r="F672" s="874"/>
      <c r="G672" s="874"/>
      <c r="H672" s="874"/>
      <c r="I672" s="874"/>
      <c r="J672" s="874"/>
      <c r="K672" s="874"/>
      <c r="L672" s="874"/>
      <c r="M672" s="874"/>
      <c r="N672" s="874"/>
      <c r="O672" s="874"/>
      <c r="P672" s="874"/>
      <c r="Q672" s="874"/>
      <c r="R672" s="874"/>
      <c r="S672" s="874"/>
    </row>
    <row r="673" spans="1:19" ht="14.25">
      <c r="A673" s="878" t="s">
        <v>933</v>
      </c>
      <c r="B673" s="878"/>
      <c r="C673" s="878"/>
      <c r="D673" s="290"/>
      <c r="E673" s="874"/>
      <c r="F673" s="874"/>
      <c r="G673" s="874"/>
      <c r="H673" s="874"/>
      <c r="I673" s="874"/>
      <c r="J673" s="874"/>
      <c r="K673" s="874"/>
      <c r="L673" s="874"/>
      <c r="M673" s="874"/>
      <c r="N673" s="874"/>
      <c r="O673" s="874"/>
      <c r="P673" s="874"/>
      <c r="Q673" s="874"/>
      <c r="R673" s="874"/>
      <c r="S673" s="874"/>
    </row>
    <row r="674" spans="1:19" ht="14.25">
      <c r="A674" s="878" t="s">
        <v>578</v>
      </c>
      <c r="B674" s="878"/>
      <c r="C674" s="878"/>
      <c r="D674" s="290"/>
      <c r="E674" s="874"/>
      <c r="F674" s="874"/>
      <c r="G674" s="874"/>
      <c r="H674" s="874"/>
      <c r="I674" s="874"/>
      <c r="J674" s="874"/>
      <c r="K674" s="874"/>
      <c r="L674" s="874"/>
      <c r="M674" s="874"/>
      <c r="N674" s="874"/>
      <c r="O674" s="874"/>
      <c r="P674" s="874"/>
      <c r="Q674" s="874"/>
      <c r="R674" s="874"/>
      <c r="S674" s="874"/>
    </row>
    <row r="675" spans="1:19" ht="14.25">
      <c r="A675" s="878" t="s">
        <v>579</v>
      </c>
      <c r="B675" s="878"/>
      <c r="C675" s="878"/>
      <c r="D675" s="290"/>
      <c r="E675" s="874"/>
      <c r="F675" s="874"/>
      <c r="G675" s="874"/>
      <c r="H675" s="874"/>
      <c r="I675" s="874"/>
      <c r="J675" s="874"/>
      <c r="K675" s="874"/>
      <c r="L675" s="874"/>
      <c r="M675" s="874"/>
      <c r="N675" s="874"/>
      <c r="O675" s="874"/>
      <c r="P675" s="874"/>
      <c r="Q675" s="874"/>
      <c r="R675" s="874"/>
      <c r="S675" s="874"/>
    </row>
    <row r="676" spans="1:19" ht="14.25">
      <c r="A676" s="878" t="s">
        <v>46</v>
      </c>
      <c r="B676" s="878"/>
      <c r="C676" s="878"/>
      <c r="D676" s="290"/>
      <c r="E676" s="874"/>
      <c r="F676" s="874"/>
      <c r="G676" s="874"/>
      <c r="H676" s="874"/>
      <c r="I676" s="874"/>
      <c r="J676" s="874"/>
      <c r="K676" s="874"/>
      <c r="L676" s="874"/>
      <c r="M676" s="874"/>
      <c r="N676" s="874"/>
      <c r="O676" s="874"/>
      <c r="P676" s="874"/>
      <c r="Q676" s="874"/>
      <c r="R676" s="874"/>
      <c r="S676" s="874"/>
    </row>
    <row r="677" spans="1:19" ht="14.25">
      <c r="A677" s="878" t="s">
        <v>47</v>
      </c>
      <c r="B677" s="878"/>
      <c r="C677" s="878"/>
      <c r="D677" s="290"/>
      <c r="E677" s="874"/>
      <c r="F677" s="874"/>
      <c r="G677" s="874"/>
      <c r="H677" s="874"/>
      <c r="I677" s="874"/>
      <c r="J677" s="874"/>
      <c r="K677" s="874"/>
      <c r="L677" s="874"/>
      <c r="M677" s="874"/>
      <c r="N677" s="874"/>
      <c r="O677" s="874"/>
      <c r="P677" s="874"/>
      <c r="Q677" s="874"/>
      <c r="R677" s="874"/>
      <c r="S677" s="874"/>
    </row>
    <row r="678" spans="1:19" ht="14.25">
      <c r="A678" s="878" t="s">
        <v>576</v>
      </c>
      <c r="B678" s="878"/>
      <c r="C678" s="878"/>
      <c r="D678" s="290"/>
      <c r="E678" s="874"/>
      <c r="F678" s="874"/>
      <c r="G678" s="874"/>
      <c r="H678" s="874"/>
      <c r="I678" s="874"/>
      <c r="J678" s="874"/>
      <c r="K678" s="874"/>
      <c r="L678" s="874"/>
      <c r="M678" s="874"/>
      <c r="N678" s="874"/>
      <c r="O678" s="874"/>
      <c r="P678" s="874"/>
      <c r="Q678" s="874"/>
      <c r="R678" s="874"/>
      <c r="S678" s="874"/>
    </row>
    <row r="679" spans="1:19">
      <c r="A679" s="857"/>
      <c r="B679" s="857"/>
      <c r="C679" s="857"/>
      <c r="D679" s="874"/>
      <c r="E679" s="874"/>
      <c r="F679" s="874"/>
      <c r="G679" s="874"/>
      <c r="H679" s="874"/>
      <c r="I679" s="874"/>
      <c r="J679" s="874"/>
      <c r="K679" s="874"/>
      <c r="L679" s="874"/>
      <c r="M679" s="874"/>
      <c r="N679" s="874"/>
      <c r="O679" s="874"/>
      <c r="P679" s="874"/>
      <c r="Q679" s="874"/>
      <c r="R679" s="874"/>
      <c r="S679" s="874"/>
    </row>
    <row r="680" spans="1:19">
      <c r="A680" s="875" t="s">
        <v>884</v>
      </c>
      <c r="B680" s="866"/>
      <c r="C680" s="866"/>
      <c r="D680" s="874"/>
      <c r="E680" s="874"/>
      <c r="F680" s="874"/>
      <c r="G680" s="874"/>
      <c r="H680" s="874"/>
      <c r="I680" s="874"/>
      <c r="J680" s="874"/>
      <c r="K680" s="874"/>
      <c r="L680" s="874"/>
      <c r="M680" s="874"/>
      <c r="N680" s="874"/>
      <c r="O680" s="874"/>
      <c r="P680" s="874"/>
      <c r="Q680" s="874"/>
      <c r="R680" s="874"/>
      <c r="S680" s="874"/>
    </row>
    <row r="681" spans="1:19">
      <c r="A681" s="857"/>
      <c r="B681" s="857"/>
      <c r="C681" s="857"/>
      <c r="D681" s="874"/>
      <c r="E681" s="874"/>
      <c r="F681" s="874"/>
      <c r="G681" s="874"/>
      <c r="H681" s="874"/>
      <c r="I681" s="874"/>
      <c r="J681" s="874"/>
      <c r="K681" s="874"/>
      <c r="L681" s="874"/>
      <c r="M681" s="874"/>
      <c r="N681" s="874"/>
      <c r="O681" s="874"/>
      <c r="P681" s="874"/>
      <c r="Q681" s="874"/>
      <c r="R681" s="874"/>
      <c r="S681" s="874"/>
    </row>
    <row r="682" spans="1:19">
      <c r="A682" s="857" t="s">
        <v>365</v>
      </c>
      <c r="B682" s="857"/>
      <c r="C682" s="857"/>
      <c r="D682" s="874"/>
      <c r="E682" s="874"/>
      <c r="F682" s="874"/>
      <c r="G682" s="874"/>
      <c r="H682" s="874"/>
      <c r="I682" s="874"/>
      <c r="J682" s="874"/>
      <c r="K682" s="874"/>
      <c r="L682" s="874"/>
      <c r="M682" s="874"/>
      <c r="N682" s="874"/>
      <c r="O682" s="874"/>
      <c r="P682" s="874"/>
      <c r="Q682" s="874"/>
      <c r="R682" s="874"/>
      <c r="S682" s="874"/>
    </row>
    <row r="683" spans="1:19">
      <c r="A683" s="857"/>
      <c r="B683" s="857"/>
      <c r="C683" s="857"/>
      <c r="D683" s="874"/>
      <c r="E683" s="874"/>
      <c r="F683" s="874"/>
      <c r="G683" s="874"/>
      <c r="H683" s="874"/>
      <c r="I683" s="874"/>
      <c r="J683" s="874"/>
      <c r="K683" s="874"/>
      <c r="L683" s="874"/>
      <c r="M683" s="874"/>
      <c r="N683" s="874"/>
      <c r="O683" s="874"/>
      <c r="P683" s="874"/>
      <c r="Q683" s="874"/>
      <c r="R683" s="874"/>
      <c r="S683" s="874"/>
    </row>
    <row r="684" spans="1:19" ht="14.25">
      <c r="A684" s="856" t="s">
        <v>906</v>
      </c>
      <c r="B684" s="867"/>
      <c r="C684" s="867"/>
      <c r="D684" s="874"/>
      <c r="E684" s="874"/>
      <c r="F684" s="874"/>
      <c r="G684" s="874"/>
      <c r="H684" s="874"/>
      <c r="I684" s="874"/>
      <c r="J684" s="874"/>
      <c r="K684" s="874"/>
      <c r="L684" s="874"/>
      <c r="M684" s="874"/>
      <c r="N684" s="874"/>
      <c r="O684" s="874"/>
      <c r="P684" s="874"/>
      <c r="Q684" s="874"/>
      <c r="R684" s="874"/>
      <c r="S684" s="874"/>
    </row>
    <row r="685" spans="1:19">
      <c r="A685" s="857"/>
      <c r="B685" s="857"/>
      <c r="C685" s="857"/>
      <c r="D685" s="874"/>
      <c r="E685" s="874"/>
      <c r="F685" s="874"/>
      <c r="G685" s="874"/>
      <c r="H685" s="874"/>
      <c r="I685" s="874"/>
      <c r="J685" s="874"/>
      <c r="K685" s="874"/>
      <c r="L685" s="874"/>
      <c r="M685" s="874"/>
      <c r="N685" s="874"/>
      <c r="O685" s="874"/>
      <c r="P685" s="874"/>
      <c r="Q685" s="874"/>
      <c r="R685" s="874"/>
      <c r="S685" s="874"/>
    </row>
    <row r="686" spans="1:19">
      <c r="A686" s="875" t="s">
        <v>893</v>
      </c>
      <c r="B686" s="866"/>
      <c r="C686" s="866"/>
      <c r="D686" s="874"/>
      <c r="E686" s="874"/>
      <c r="F686" s="874"/>
      <c r="G686" s="874"/>
      <c r="H686" s="874"/>
      <c r="I686" s="874"/>
      <c r="J686" s="874"/>
      <c r="K686" s="874"/>
      <c r="L686" s="874"/>
      <c r="M686" s="874"/>
      <c r="N686" s="874"/>
      <c r="O686" s="874"/>
      <c r="P686" s="874"/>
      <c r="Q686" s="874"/>
      <c r="R686" s="874"/>
      <c r="S686" s="874"/>
    </row>
    <row r="687" spans="1:19">
      <c r="A687" s="857"/>
      <c r="B687" s="857"/>
      <c r="C687" s="857"/>
      <c r="D687" s="874"/>
      <c r="E687" s="874"/>
      <c r="F687" s="874"/>
      <c r="G687" s="874"/>
      <c r="H687" s="874"/>
      <c r="I687" s="874"/>
      <c r="J687" s="874"/>
      <c r="K687" s="874"/>
      <c r="L687" s="874"/>
      <c r="M687" s="874"/>
      <c r="N687" s="874"/>
      <c r="O687" s="874"/>
      <c r="P687" s="874"/>
      <c r="Q687" s="874"/>
      <c r="R687" s="874"/>
      <c r="S687" s="874"/>
    </row>
    <row r="688" spans="1:19">
      <c r="A688" s="878" t="s">
        <v>361</v>
      </c>
      <c r="B688" s="857"/>
      <c r="C688" s="857"/>
      <c r="D688" s="874"/>
      <c r="E688" s="874"/>
      <c r="F688" s="874"/>
      <c r="G688" s="874"/>
      <c r="H688" s="874"/>
      <c r="I688" s="874"/>
      <c r="J688" s="874"/>
      <c r="K688" s="874"/>
      <c r="L688" s="874"/>
      <c r="M688" s="874"/>
      <c r="N688" s="874"/>
      <c r="O688" s="874"/>
      <c r="P688" s="874"/>
      <c r="Q688" s="874"/>
      <c r="R688" s="874"/>
      <c r="S688" s="874"/>
    </row>
    <row r="689" spans="1:19">
      <c r="A689" s="878" t="s">
        <v>362</v>
      </c>
      <c r="B689" s="857"/>
      <c r="C689" s="857"/>
      <c r="D689" s="874"/>
      <c r="E689" s="874"/>
      <c r="F689" s="874"/>
      <c r="G689" s="874"/>
      <c r="H689" s="874"/>
      <c r="I689" s="874"/>
      <c r="J689" s="874"/>
      <c r="K689" s="874"/>
      <c r="L689" s="874"/>
      <c r="M689" s="874"/>
      <c r="N689" s="874"/>
      <c r="O689" s="874"/>
      <c r="P689" s="874"/>
      <c r="Q689" s="874"/>
      <c r="R689" s="874"/>
      <c r="S689" s="874"/>
    </row>
    <row r="690" spans="1:19">
      <c r="A690" s="878"/>
      <c r="B690" s="857"/>
      <c r="C690" s="857"/>
      <c r="D690" s="874"/>
      <c r="E690" s="874"/>
      <c r="F690" s="874"/>
      <c r="G690" s="874"/>
      <c r="H690" s="874"/>
      <c r="I690" s="874"/>
      <c r="J690" s="874"/>
      <c r="K690" s="874"/>
      <c r="L690" s="874"/>
      <c r="M690" s="874"/>
      <c r="N690" s="874"/>
      <c r="O690" s="874"/>
      <c r="P690" s="874"/>
      <c r="Q690" s="874"/>
      <c r="R690" s="874"/>
      <c r="S690" s="874"/>
    </row>
    <row r="691" spans="1:19">
      <c r="A691" s="875" t="s">
        <v>894</v>
      </c>
      <c r="B691" s="866"/>
      <c r="C691" s="866"/>
      <c r="D691" s="874"/>
      <c r="E691" s="874"/>
      <c r="F691" s="874"/>
      <c r="G691" s="874"/>
      <c r="H691" s="874"/>
      <c r="I691" s="874"/>
      <c r="J691" s="874"/>
      <c r="K691" s="874"/>
      <c r="L691" s="874"/>
      <c r="M691" s="874"/>
      <c r="N691" s="874"/>
      <c r="O691" s="874"/>
      <c r="P691" s="874"/>
      <c r="Q691" s="874"/>
      <c r="R691" s="874"/>
      <c r="S691" s="874"/>
    </row>
    <row r="692" spans="1:19">
      <c r="A692" s="878"/>
      <c r="B692" s="857"/>
      <c r="C692" s="857"/>
      <c r="D692" s="874"/>
      <c r="E692" s="874"/>
      <c r="F692" s="874"/>
      <c r="G692" s="874"/>
      <c r="H692" s="874"/>
      <c r="I692" s="874"/>
      <c r="J692" s="874"/>
      <c r="K692" s="874"/>
      <c r="L692" s="874"/>
      <c r="M692" s="874"/>
      <c r="N692" s="874"/>
      <c r="O692" s="874"/>
      <c r="P692" s="874"/>
      <c r="Q692" s="874"/>
      <c r="R692" s="874"/>
      <c r="S692" s="874"/>
    </row>
    <row r="693" spans="1:19">
      <c r="A693" s="878" t="s">
        <v>907</v>
      </c>
      <c r="B693" s="857"/>
      <c r="C693" s="857"/>
      <c r="D693" s="874"/>
      <c r="E693" s="874"/>
      <c r="F693" s="874"/>
      <c r="G693" s="874"/>
      <c r="H693" s="874"/>
      <c r="I693" s="874"/>
      <c r="J693" s="874"/>
      <c r="K693" s="874"/>
      <c r="L693" s="874"/>
      <c r="M693" s="874"/>
      <c r="N693" s="874"/>
      <c r="O693" s="874"/>
      <c r="P693" s="874"/>
      <c r="Q693" s="874"/>
      <c r="R693" s="874"/>
      <c r="S693" s="874"/>
    </row>
    <row r="694" spans="1:19">
      <c r="A694" s="878" t="s">
        <v>1089</v>
      </c>
      <c r="B694" s="857"/>
      <c r="C694" s="857"/>
      <c r="D694" s="874"/>
      <c r="E694" s="874"/>
      <c r="F694" s="874"/>
      <c r="G694" s="874"/>
      <c r="H694" s="874"/>
      <c r="I694" s="874"/>
      <c r="J694" s="874"/>
      <c r="K694" s="874"/>
      <c r="L694" s="874"/>
      <c r="M694" s="874"/>
      <c r="N694" s="874"/>
      <c r="O694" s="874"/>
      <c r="P694" s="874"/>
      <c r="Q694" s="874"/>
      <c r="R694" s="874"/>
      <c r="S694" s="874"/>
    </row>
    <row r="695" spans="1:19">
      <c r="A695" s="857"/>
      <c r="B695" s="857"/>
      <c r="C695" s="857"/>
      <c r="D695" s="874"/>
      <c r="E695" s="874"/>
      <c r="F695" s="874"/>
      <c r="G695" s="874"/>
      <c r="H695" s="874"/>
      <c r="I695" s="874"/>
      <c r="J695" s="874"/>
      <c r="K695" s="874"/>
      <c r="L695" s="874"/>
      <c r="M695" s="874"/>
      <c r="N695" s="874"/>
      <c r="O695" s="874"/>
      <c r="P695" s="874"/>
      <c r="Q695" s="874"/>
      <c r="R695" s="874"/>
      <c r="S695" s="874"/>
    </row>
    <row r="696" spans="1:19" ht="14.25">
      <c r="A696" s="856" t="s">
        <v>1790</v>
      </c>
      <c r="B696" s="867"/>
      <c r="C696" s="867"/>
      <c r="D696" s="874"/>
      <c r="E696" s="874"/>
      <c r="F696" s="874"/>
      <c r="G696" s="874"/>
      <c r="H696" s="874"/>
      <c r="I696" s="874"/>
      <c r="J696" s="874"/>
      <c r="K696" s="874"/>
      <c r="L696" s="874"/>
      <c r="M696" s="874"/>
      <c r="N696" s="874"/>
      <c r="O696" s="874"/>
      <c r="P696" s="874"/>
      <c r="Q696" s="874"/>
      <c r="R696" s="874"/>
      <c r="S696" s="874"/>
    </row>
    <row r="697" spans="1:19">
      <c r="A697" s="857"/>
      <c r="B697" s="857"/>
      <c r="C697" s="857"/>
      <c r="D697" s="874"/>
      <c r="E697" s="874"/>
      <c r="F697" s="874"/>
      <c r="G697" s="874"/>
      <c r="H697" s="874"/>
      <c r="I697" s="874"/>
      <c r="J697" s="874"/>
      <c r="K697" s="874"/>
      <c r="L697" s="874"/>
      <c r="M697" s="874"/>
      <c r="N697" s="874"/>
      <c r="O697" s="874"/>
      <c r="P697" s="874"/>
      <c r="Q697" s="874"/>
      <c r="R697" s="874"/>
      <c r="S697" s="874"/>
    </row>
    <row r="698" spans="1:19">
      <c r="A698" s="875" t="s">
        <v>726</v>
      </c>
      <c r="B698" s="875"/>
      <c r="C698" s="866"/>
      <c r="D698" s="882"/>
      <c r="E698" s="874"/>
      <c r="F698" s="882"/>
      <c r="G698" s="874"/>
      <c r="H698" s="882"/>
      <c r="I698" s="874"/>
      <c r="J698" s="874"/>
      <c r="K698" s="874"/>
      <c r="L698" s="874"/>
      <c r="M698" s="874"/>
      <c r="N698" s="874"/>
      <c r="O698" s="874"/>
      <c r="P698" s="874"/>
      <c r="Q698" s="874"/>
      <c r="R698" s="874"/>
      <c r="S698" s="874"/>
    </row>
    <row r="699" spans="1:19">
      <c r="A699" s="879"/>
      <c r="B699" s="879"/>
      <c r="C699" s="857"/>
      <c r="D699" s="882"/>
      <c r="E699" s="874"/>
      <c r="F699" s="882"/>
      <c r="G699" s="874"/>
      <c r="H699" s="882"/>
      <c r="I699" s="874"/>
      <c r="J699" s="874"/>
      <c r="K699" s="874"/>
      <c r="L699" s="874"/>
      <c r="M699" s="874"/>
      <c r="N699" s="874"/>
      <c r="O699" s="874"/>
      <c r="P699" s="874"/>
      <c r="Q699" s="874"/>
      <c r="R699" s="874"/>
      <c r="S699" s="874"/>
    </row>
    <row r="700" spans="1:19">
      <c r="A700" s="879" t="s">
        <v>1759</v>
      </c>
      <c r="B700" s="879"/>
      <c r="C700" s="857"/>
      <c r="D700" s="882"/>
      <c r="E700" s="874"/>
      <c r="F700" s="882"/>
      <c r="G700" s="874"/>
      <c r="H700" s="882"/>
      <c r="I700" s="874"/>
      <c r="J700" s="874"/>
      <c r="K700" s="874"/>
      <c r="L700" s="874"/>
      <c r="M700" s="874"/>
      <c r="N700" s="874"/>
      <c r="O700" s="874"/>
      <c r="P700" s="874"/>
      <c r="Q700" s="874"/>
      <c r="R700" s="874"/>
      <c r="S700" s="874"/>
    </row>
    <row r="701" spans="1:19">
      <c r="A701" s="879" t="s">
        <v>1760</v>
      </c>
      <c r="B701" s="879"/>
      <c r="C701" s="857"/>
      <c r="D701" s="882"/>
      <c r="E701" s="874"/>
      <c r="F701" s="882"/>
      <c r="G701" s="874"/>
      <c r="H701" s="882"/>
      <c r="I701" s="874"/>
      <c r="J701" s="874"/>
      <c r="K701" s="874"/>
      <c r="L701" s="874"/>
      <c r="M701" s="874"/>
      <c r="N701" s="874"/>
      <c r="O701" s="874"/>
      <c r="P701" s="874"/>
      <c r="Q701" s="874"/>
      <c r="R701" s="874"/>
      <c r="S701" s="874"/>
    </row>
    <row r="702" spans="1:19">
      <c r="A702" s="879" t="s">
        <v>1761</v>
      </c>
      <c r="B702" s="879"/>
      <c r="C702" s="857"/>
      <c r="D702" s="882"/>
      <c r="E702" s="874"/>
      <c r="F702" s="882"/>
      <c r="G702" s="874"/>
      <c r="H702" s="882"/>
      <c r="I702" s="874"/>
      <c r="J702" s="874"/>
      <c r="K702" s="874"/>
      <c r="L702" s="874"/>
      <c r="M702" s="874"/>
      <c r="N702" s="874"/>
      <c r="O702" s="874"/>
      <c r="P702" s="874"/>
      <c r="Q702" s="874"/>
      <c r="R702" s="874"/>
      <c r="S702" s="874"/>
    </row>
    <row r="703" spans="1:19">
      <c r="A703" s="879" t="s">
        <v>40</v>
      </c>
      <c r="B703" s="879"/>
      <c r="C703" s="857"/>
      <c r="D703" s="882"/>
      <c r="E703" s="874"/>
      <c r="F703" s="882"/>
      <c r="G703" s="874"/>
      <c r="H703" s="882"/>
      <c r="I703" s="874"/>
      <c r="J703" s="874"/>
      <c r="K703" s="874"/>
      <c r="L703" s="874"/>
      <c r="M703" s="874"/>
      <c r="N703" s="874"/>
      <c r="O703" s="874"/>
      <c r="P703" s="874"/>
      <c r="Q703" s="874"/>
      <c r="R703" s="874"/>
      <c r="S703" s="874"/>
    </row>
    <row r="704" spans="1:19">
      <c r="A704" s="879"/>
      <c r="B704" s="879"/>
      <c r="C704" s="857"/>
      <c r="D704" s="882"/>
      <c r="E704" s="874"/>
      <c r="F704" s="882"/>
      <c r="G704" s="874"/>
      <c r="H704" s="882"/>
      <c r="I704" s="874"/>
      <c r="J704" s="874"/>
      <c r="K704" s="874"/>
      <c r="L704" s="874"/>
      <c r="M704" s="874"/>
      <c r="N704" s="874"/>
      <c r="O704" s="874"/>
      <c r="P704" s="874"/>
      <c r="Q704" s="874"/>
      <c r="R704" s="874"/>
      <c r="S704" s="874"/>
    </row>
    <row r="705" spans="1:19">
      <c r="A705" s="875" t="s">
        <v>1879</v>
      </c>
      <c r="B705" s="875" t="s">
        <v>169</v>
      </c>
      <c r="C705" s="875" t="s">
        <v>1549</v>
      </c>
      <c r="D705" s="882"/>
      <c r="E705" s="874"/>
      <c r="F705" s="882"/>
      <c r="G705" s="874"/>
      <c r="H705" s="882"/>
      <c r="I705" s="874"/>
      <c r="J705" s="874"/>
      <c r="K705" s="874"/>
      <c r="L705" s="874"/>
      <c r="M705" s="874"/>
      <c r="N705" s="874"/>
      <c r="O705" s="874"/>
      <c r="P705" s="874"/>
      <c r="Q705" s="874"/>
      <c r="R705" s="874"/>
      <c r="S705" s="874"/>
    </row>
    <row r="706" spans="1:19">
      <c r="A706" s="879"/>
      <c r="B706" s="879"/>
      <c r="C706" s="857"/>
      <c r="D706" s="882"/>
      <c r="E706" s="874"/>
      <c r="F706" s="882"/>
      <c r="G706" s="874"/>
      <c r="H706" s="882"/>
      <c r="I706" s="874"/>
      <c r="J706" s="874"/>
      <c r="K706" s="874"/>
      <c r="L706" s="874"/>
      <c r="M706" s="874"/>
      <c r="N706" s="874"/>
      <c r="O706" s="874"/>
      <c r="P706" s="874"/>
      <c r="Q706" s="874"/>
      <c r="R706" s="874"/>
      <c r="S706" s="874"/>
    </row>
    <row r="707" spans="1:19">
      <c r="A707" s="879" t="s">
        <v>1880</v>
      </c>
      <c r="B707" s="879"/>
      <c r="C707" s="857"/>
      <c r="D707" s="882"/>
      <c r="E707" s="874"/>
      <c r="F707" s="882"/>
      <c r="G707" s="874"/>
      <c r="H707" s="882"/>
      <c r="I707" s="874"/>
      <c r="J707" s="874"/>
      <c r="K707" s="874"/>
      <c r="L707" s="874"/>
      <c r="M707" s="874"/>
      <c r="N707" s="874"/>
      <c r="O707" s="874"/>
      <c r="P707" s="874"/>
      <c r="Q707" s="874"/>
      <c r="R707" s="874"/>
      <c r="S707" s="874"/>
    </row>
    <row r="708" spans="1:19">
      <c r="A708" s="879" t="s">
        <v>2101</v>
      </c>
      <c r="B708" s="879"/>
      <c r="C708" s="857"/>
      <c r="D708" s="882"/>
      <c r="E708" s="874"/>
      <c r="F708" s="882"/>
      <c r="G708" s="874"/>
      <c r="H708" s="882"/>
      <c r="I708" s="874"/>
      <c r="J708" s="874"/>
      <c r="K708" s="874"/>
      <c r="L708" s="874"/>
      <c r="M708" s="874"/>
      <c r="N708" s="874"/>
      <c r="O708" s="874"/>
      <c r="P708" s="874"/>
      <c r="Q708" s="874"/>
      <c r="R708" s="874"/>
      <c r="S708" s="874"/>
    </row>
    <row r="709" spans="1:19">
      <c r="A709" s="879" t="s">
        <v>2340</v>
      </c>
      <c r="B709" s="879"/>
      <c r="C709" s="857"/>
      <c r="D709" s="882"/>
      <c r="E709" s="874"/>
      <c r="F709" s="882"/>
      <c r="G709" s="874"/>
      <c r="H709" s="882"/>
      <c r="I709" s="874"/>
      <c r="J709" s="874"/>
      <c r="K709" s="874"/>
      <c r="L709" s="874"/>
      <c r="M709" s="874"/>
      <c r="N709" s="874"/>
      <c r="O709" s="874"/>
      <c r="P709" s="874"/>
      <c r="Q709" s="874"/>
      <c r="R709" s="874"/>
      <c r="S709" s="874"/>
    </row>
    <row r="710" spans="1:19">
      <c r="A710" s="879" t="s">
        <v>2341</v>
      </c>
      <c r="B710" s="879"/>
      <c r="C710" s="857"/>
      <c r="D710" s="882"/>
      <c r="E710" s="874"/>
      <c r="F710" s="882"/>
      <c r="G710" s="874"/>
      <c r="H710" s="882"/>
      <c r="I710" s="874"/>
      <c r="J710" s="874"/>
      <c r="K710" s="874"/>
      <c r="L710" s="874"/>
      <c r="M710" s="874"/>
      <c r="N710" s="874"/>
      <c r="O710" s="874"/>
      <c r="P710" s="874"/>
      <c r="Q710" s="874"/>
      <c r="R710" s="874"/>
      <c r="S710" s="874"/>
    </row>
    <row r="711" spans="1:19">
      <c r="A711" s="879" t="s">
        <v>2342</v>
      </c>
      <c r="B711" s="879"/>
      <c r="C711" s="857"/>
      <c r="D711" s="882"/>
      <c r="E711" s="874"/>
      <c r="F711" s="882"/>
      <c r="G711" s="874"/>
      <c r="H711" s="882"/>
      <c r="I711" s="874"/>
      <c r="J711" s="874"/>
      <c r="K711" s="874"/>
      <c r="L711" s="874"/>
      <c r="M711" s="874"/>
      <c r="N711" s="874"/>
      <c r="O711" s="874"/>
      <c r="P711" s="874"/>
      <c r="Q711" s="874"/>
      <c r="R711" s="874"/>
      <c r="S711" s="874"/>
    </row>
    <row r="712" spans="1:19">
      <c r="A712" s="879" t="s">
        <v>2102</v>
      </c>
      <c r="B712" s="879"/>
      <c r="C712" s="857"/>
      <c r="D712" s="882"/>
      <c r="E712" s="874"/>
      <c r="F712" s="882"/>
      <c r="G712" s="874"/>
      <c r="H712" s="882"/>
      <c r="I712" s="874"/>
      <c r="J712" s="874"/>
      <c r="K712" s="874"/>
      <c r="L712" s="874"/>
      <c r="M712" s="874"/>
      <c r="N712" s="874"/>
      <c r="O712" s="874"/>
      <c r="P712" s="874"/>
      <c r="Q712" s="874"/>
      <c r="R712" s="874"/>
      <c r="S712" s="874"/>
    </row>
    <row r="713" spans="1:19">
      <c r="A713" s="879" t="s">
        <v>2343</v>
      </c>
      <c r="B713" s="879"/>
      <c r="C713" s="857"/>
      <c r="D713" s="882"/>
      <c r="E713" s="874"/>
      <c r="F713" s="882"/>
      <c r="G713" s="874"/>
      <c r="H713" s="882"/>
      <c r="I713" s="874"/>
      <c r="J713" s="874"/>
      <c r="K713" s="874"/>
      <c r="L713" s="874"/>
      <c r="M713" s="874"/>
      <c r="N713" s="874"/>
      <c r="O713" s="874"/>
      <c r="P713" s="874"/>
      <c r="Q713" s="874"/>
      <c r="R713" s="874"/>
      <c r="S713" s="874"/>
    </row>
    <row r="714" spans="1:19">
      <c r="A714" s="879" t="s">
        <v>2345</v>
      </c>
      <c r="B714" s="879"/>
      <c r="C714" s="857"/>
      <c r="D714" s="882"/>
      <c r="E714" s="874"/>
      <c r="F714" s="882"/>
      <c r="G714" s="874"/>
      <c r="H714" s="882"/>
      <c r="I714" s="874"/>
      <c r="J714" s="874"/>
      <c r="K714" s="874"/>
      <c r="L714" s="874"/>
      <c r="M714" s="874"/>
      <c r="N714" s="874"/>
      <c r="O714" s="874"/>
      <c r="P714" s="874"/>
      <c r="Q714" s="874"/>
      <c r="R714" s="874"/>
      <c r="S714" s="874"/>
    </row>
    <row r="715" spans="1:19">
      <c r="A715" s="879" t="s">
        <v>2344</v>
      </c>
      <c r="B715" s="879"/>
      <c r="C715" s="857"/>
      <c r="D715" s="882"/>
      <c r="E715" s="874"/>
      <c r="F715" s="882"/>
      <c r="G715" s="874"/>
      <c r="H715" s="882"/>
      <c r="I715" s="874"/>
      <c r="J715" s="874"/>
      <c r="K715" s="874"/>
      <c r="L715" s="874"/>
      <c r="M715" s="874"/>
      <c r="N715" s="874"/>
      <c r="O715" s="874"/>
      <c r="P715" s="874"/>
      <c r="Q715" s="874"/>
      <c r="R715" s="874"/>
      <c r="S715" s="874"/>
    </row>
    <row r="716" spans="1:19">
      <c r="A716" s="879" t="s">
        <v>1881</v>
      </c>
      <c r="B716" s="879"/>
      <c r="C716" s="857"/>
      <c r="D716" s="882"/>
      <c r="E716" s="874"/>
      <c r="F716" s="882"/>
      <c r="G716" s="874"/>
      <c r="H716" s="882"/>
      <c r="I716" s="874"/>
      <c r="J716" s="874"/>
      <c r="K716" s="874"/>
      <c r="L716" s="874"/>
      <c r="M716" s="874"/>
      <c r="N716" s="874"/>
      <c r="O716" s="874"/>
      <c r="P716" s="874"/>
      <c r="Q716" s="874"/>
      <c r="R716" s="874"/>
      <c r="S716" s="874"/>
    </row>
    <row r="717" spans="1:19">
      <c r="A717" s="881"/>
      <c r="B717" s="879"/>
      <c r="C717" s="857"/>
      <c r="D717" s="882"/>
      <c r="E717" s="874"/>
      <c r="F717" s="882"/>
      <c r="G717" s="874"/>
      <c r="H717" s="882"/>
      <c r="I717" s="874"/>
      <c r="J717" s="874"/>
      <c r="K717" s="874"/>
      <c r="L717" s="874"/>
      <c r="M717" s="874"/>
      <c r="N717" s="874"/>
      <c r="O717" s="874"/>
      <c r="P717" s="874"/>
      <c r="Q717" s="874"/>
      <c r="R717" s="874"/>
      <c r="S717" s="874"/>
    </row>
    <row r="718" spans="1:19">
      <c r="A718" s="875" t="s">
        <v>168</v>
      </c>
      <c r="B718" s="875" t="s">
        <v>169</v>
      </c>
      <c r="C718" s="875" t="s">
        <v>1549</v>
      </c>
      <c r="D718" s="882"/>
      <c r="E718" s="882"/>
      <c r="F718" s="882"/>
      <c r="G718" s="874"/>
      <c r="H718" s="882"/>
      <c r="I718" s="882"/>
      <c r="J718" s="882"/>
      <c r="K718" s="882"/>
      <c r="L718" s="874"/>
      <c r="M718" s="874"/>
      <c r="N718" s="874"/>
      <c r="O718" s="874"/>
      <c r="P718" s="874"/>
      <c r="Q718" s="874"/>
      <c r="R718" s="874"/>
      <c r="S718" s="874"/>
    </row>
    <row r="719" spans="1:19">
      <c r="A719" s="879"/>
      <c r="B719" s="879"/>
      <c r="C719" s="879"/>
      <c r="D719" s="882"/>
      <c r="E719" s="882"/>
      <c r="F719" s="882"/>
      <c r="G719" s="874"/>
      <c r="H719" s="882"/>
      <c r="I719" s="882"/>
      <c r="J719" s="882"/>
      <c r="K719" s="882"/>
      <c r="L719" s="874"/>
      <c r="M719" s="874"/>
      <c r="N719" s="874"/>
      <c r="O719" s="874"/>
      <c r="P719" s="874"/>
      <c r="Q719" s="874"/>
      <c r="R719" s="874"/>
      <c r="S719" s="874"/>
    </row>
    <row r="720" spans="1:19">
      <c r="A720" s="879" t="s">
        <v>165</v>
      </c>
      <c r="B720" s="879">
        <v>1</v>
      </c>
      <c r="C720" s="879">
        <v>1</v>
      </c>
      <c r="D720" s="882"/>
      <c r="E720" s="882"/>
      <c r="F720" s="882"/>
      <c r="G720" s="874"/>
      <c r="H720" s="882"/>
      <c r="I720" s="882"/>
      <c r="J720" s="882"/>
      <c r="K720" s="882"/>
      <c r="L720" s="874"/>
      <c r="M720" s="874"/>
      <c r="N720" s="874"/>
      <c r="O720" s="874"/>
      <c r="P720" s="874"/>
      <c r="Q720" s="874"/>
      <c r="R720" s="874"/>
      <c r="S720" s="874"/>
    </row>
    <row r="721" spans="1:19">
      <c r="A721" s="879" t="s">
        <v>166</v>
      </c>
      <c r="B721" s="879">
        <v>1</v>
      </c>
      <c r="C721" s="879">
        <v>2</v>
      </c>
      <c r="D721" s="882"/>
      <c r="E721" s="882"/>
      <c r="F721" s="882"/>
      <c r="G721" s="874"/>
      <c r="H721" s="882"/>
      <c r="I721" s="882"/>
      <c r="J721" s="882"/>
      <c r="K721" s="882"/>
      <c r="L721" s="874"/>
      <c r="M721" s="874"/>
      <c r="N721" s="874"/>
      <c r="O721" s="874"/>
      <c r="P721" s="874"/>
      <c r="Q721" s="874"/>
      <c r="R721" s="874"/>
      <c r="S721" s="874"/>
    </row>
    <row r="722" spans="1:19">
      <c r="A722" s="879" t="s">
        <v>934</v>
      </c>
      <c r="B722" s="879">
        <v>2</v>
      </c>
      <c r="C722" s="879">
        <v>3</v>
      </c>
      <c r="D722" s="882"/>
      <c r="E722" s="882"/>
      <c r="F722" s="882"/>
      <c r="G722" s="874"/>
      <c r="H722" s="882"/>
      <c r="I722" s="882"/>
      <c r="J722" s="882"/>
      <c r="K722" s="882"/>
      <c r="L722" s="874"/>
      <c r="M722" s="874"/>
      <c r="N722" s="874"/>
      <c r="O722" s="874"/>
      <c r="P722" s="874"/>
      <c r="Q722" s="874"/>
      <c r="R722" s="874"/>
      <c r="S722" s="874"/>
    </row>
    <row r="723" spans="1:19">
      <c r="A723" s="879" t="s">
        <v>167</v>
      </c>
      <c r="B723" s="879">
        <v>1</v>
      </c>
      <c r="C723" s="879">
        <v>4</v>
      </c>
      <c r="D723" s="882"/>
      <c r="E723" s="882"/>
      <c r="F723" s="882"/>
      <c r="G723" s="874"/>
      <c r="H723" s="882"/>
      <c r="I723" s="882"/>
      <c r="J723" s="882"/>
      <c r="K723" s="882"/>
      <c r="L723" s="874"/>
      <c r="M723" s="874"/>
      <c r="N723" s="874"/>
      <c r="O723" s="874"/>
      <c r="P723" s="874"/>
      <c r="Q723" s="874"/>
      <c r="R723" s="874"/>
      <c r="S723" s="874"/>
    </row>
    <row r="724" spans="1:19">
      <c r="A724" s="879" t="s">
        <v>935</v>
      </c>
      <c r="B724" s="879">
        <v>2</v>
      </c>
      <c r="C724" s="879">
        <v>5</v>
      </c>
      <c r="D724" s="882"/>
      <c r="E724" s="882"/>
      <c r="F724" s="882"/>
      <c r="G724" s="874"/>
      <c r="H724" s="882"/>
      <c r="I724" s="882"/>
      <c r="J724" s="882"/>
      <c r="K724" s="882"/>
      <c r="L724" s="874"/>
      <c r="M724" s="874"/>
      <c r="N724" s="874"/>
      <c r="O724" s="874"/>
      <c r="P724" s="874"/>
      <c r="Q724" s="874"/>
      <c r="R724" s="874"/>
      <c r="S724" s="874"/>
    </row>
    <row r="725" spans="1:19">
      <c r="A725" s="879" t="s">
        <v>936</v>
      </c>
      <c r="B725" s="879">
        <v>2</v>
      </c>
      <c r="C725" s="879">
        <v>6</v>
      </c>
      <c r="D725" s="882"/>
      <c r="E725" s="882"/>
      <c r="F725" s="882"/>
      <c r="G725" s="874"/>
      <c r="H725" s="882"/>
      <c r="I725" s="882"/>
      <c r="J725" s="882"/>
      <c r="K725" s="882"/>
      <c r="L725" s="874"/>
      <c r="M725" s="874"/>
      <c r="N725" s="874"/>
      <c r="O725" s="874"/>
      <c r="P725" s="874"/>
      <c r="Q725" s="874"/>
      <c r="R725" s="874"/>
      <c r="S725" s="874"/>
    </row>
    <row r="726" spans="1:19">
      <c r="A726" s="879" t="s">
        <v>937</v>
      </c>
      <c r="B726" s="879">
        <v>2</v>
      </c>
      <c r="C726" s="879">
        <v>7</v>
      </c>
      <c r="D726" s="882"/>
      <c r="E726" s="882"/>
      <c r="F726" s="882"/>
      <c r="G726" s="874"/>
      <c r="H726" s="882"/>
      <c r="I726" s="882"/>
      <c r="J726" s="882"/>
      <c r="K726" s="882"/>
      <c r="L726" s="874"/>
      <c r="M726" s="874"/>
      <c r="N726" s="874"/>
      <c r="O726" s="874"/>
      <c r="P726" s="874"/>
      <c r="Q726" s="874"/>
      <c r="R726" s="874"/>
      <c r="S726" s="874"/>
    </row>
    <row r="727" spans="1:19">
      <c r="A727" s="879" t="s">
        <v>938</v>
      </c>
      <c r="B727" s="879">
        <v>3</v>
      </c>
      <c r="C727" s="879">
        <v>8</v>
      </c>
      <c r="D727" s="882"/>
      <c r="E727" s="882"/>
      <c r="F727" s="882"/>
      <c r="G727" s="874"/>
      <c r="H727" s="882"/>
      <c r="I727" s="882"/>
      <c r="J727" s="882"/>
      <c r="K727" s="882"/>
      <c r="L727" s="874"/>
      <c r="M727" s="874"/>
      <c r="N727" s="874"/>
      <c r="O727" s="874"/>
      <c r="P727" s="874"/>
      <c r="Q727" s="874"/>
      <c r="R727" s="874"/>
      <c r="S727" s="874"/>
    </row>
    <row r="728" spans="1:19">
      <c r="A728" s="879" t="s">
        <v>939</v>
      </c>
      <c r="B728" s="879">
        <v>3</v>
      </c>
      <c r="C728" s="879">
        <v>9</v>
      </c>
      <c r="D728" s="882"/>
      <c r="E728" s="882"/>
      <c r="F728" s="882"/>
      <c r="G728" s="882"/>
      <c r="H728" s="882"/>
      <c r="I728" s="882"/>
      <c r="J728" s="882"/>
      <c r="K728" s="882"/>
      <c r="L728" s="874"/>
      <c r="M728" s="874"/>
      <c r="N728" s="874"/>
      <c r="O728" s="874"/>
      <c r="P728" s="874"/>
      <c r="Q728" s="874"/>
      <c r="R728" s="874"/>
      <c r="S728" s="874"/>
    </row>
    <row r="729" spans="1:19">
      <c r="A729" s="857"/>
      <c r="B729" s="857"/>
      <c r="C729" s="857"/>
      <c r="D729" s="874"/>
      <c r="E729" s="874"/>
      <c r="F729" s="874"/>
      <c r="G729" s="874"/>
      <c r="H729" s="874"/>
      <c r="I729" s="874"/>
      <c r="J729" s="874"/>
      <c r="K729" s="874"/>
      <c r="L729" s="874"/>
      <c r="M729" s="874"/>
      <c r="N729" s="874"/>
      <c r="O729" s="874"/>
      <c r="P729" s="874"/>
      <c r="Q729" s="874"/>
      <c r="R729" s="874"/>
      <c r="S729" s="874"/>
    </row>
    <row r="730" spans="1:19">
      <c r="A730" s="875" t="s">
        <v>727</v>
      </c>
      <c r="B730" s="866"/>
      <c r="C730" s="866"/>
      <c r="D730" s="874"/>
      <c r="E730" s="874"/>
      <c r="F730" s="874"/>
      <c r="G730" s="874"/>
      <c r="H730" s="874"/>
      <c r="I730" s="874"/>
      <c r="J730" s="874"/>
      <c r="K730" s="874"/>
      <c r="L730" s="874"/>
      <c r="M730" s="874"/>
      <c r="N730" s="874"/>
      <c r="O730" s="874"/>
      <c r="P730" s="874"/>
      <c r="Q730" s="874"/>
      <c r="R730" s="874"/>
      <c r="S730" s="874"/>
    </row>
    <row r="731" spans="1:19">
      <c r="A731" s="857"/>
      <c r="B731" s="857"/>
      <c r="C731" s="857"/>
      <c r="D731" s="874"/>
      <c r="E731" s="874"/>
      <c r="F731" s="874"/>
      <c r="G731" s="874"/>
      <c r="H731" s="874"/>
      <c r="I731" s="874"/>
      <c r="J731" s="874"/>
      <c r="K731" s="874"/>
      <c r="L731" s="874"/>
      <c r="M731" s="874"/>
      <c r="N731" s="874"/>
      <c r="O731" s="874"/>
      <c r="P731" s="874"/>
      <c r="Q731" s="874"/>
      <c r="R731" s="874"/>
      <c r="S731" s="874"/>
    </row>
    <row r="732" spans="1:19">
      <c r="A732" s="879" t="s">
        <v>940</v>
      </c>
      <c r="B732" s="857"/>
      <c r="C732" s="857"/>
      <c r="D732" s="874"/>
      <c r="E732" s="874"/>
      <c r="F732" s="874"/>
      <c r="G732" s="874"/>
      <c r="H732" s="874"/>
      <c r="I732" s="874"/>
      <c r="J732" s="874"/>
      <c r="K732" s="874"/>
      <c r="L732" s="874"/>
      <c r="M732" s="874"/>
      <c r="N732" s="874"/>
      <c r="O732" s="874"/>
      <c r="P732" s="874"/>
      <c r="Q732" s="874"/>
      <c r="R732" s="874"/>
      <c r="S732" s="874"/>
    </row>
    <row r="733" spans="1:19">
      <c r="A733" s="879" t="s">
        <v>941</v>
      </c>
      <c r="B733" s="857"/>
      <c r="C733" s="857"/>
      <c r="D733" s="874"/>
      <c r="E733" s="874"/>
      <c r="F733" s="874"/>
      <c r="G733" s="874"/>
      <c r="H733" s="874"/>
      <c r="I733" s="874"/>
      <c r="J733" s="874"/>
      <c r="K733" s="874"/>
      <c r="L733" s="874"/>
      <c r="M733" s="874"/>
      <c r="N733" s="874"/>
      <c r="O733" s="874"/>
      <c r="P733" s="874"/>
      <c r="Q733" s="874"/>
      <c r="R733" s="874"/>
      <c r="S733" s="874"/>
    </row>
    <row r="734" spans="1:19">
      <c r="A734" s="879" t="s">
        <v>942</v>
      </c>
      <c r="B734" s="857"/>
      <c r="C734" s="857"/>
      <c r="D734" s="874"/>
      <c r="E734" s="874"/>
      <c r="F734" s="874"/>
      <c r="G734" s="874"/>
      <c r="H734" s="874"/>
      <c r="I734" s="874"/>
      <c r="J734" s="874"/>
      <c r="K734" s="874"/>
      <c r="L734" s="874"/>
      <c r="M734" s="874"/>
      <c r="N734" s="874"/>
      <c r="O734" s="874"/>
      <c r="P734" s="874"/>
      <c r="Q734" s="874"/>
      <c r="R734" s="874"/>
      <c r="S734" s="874"/>
    </row>
    <row r="735" spans="1:19">
      <c r="A735" s="879" t="s">
        <v>943</v>
      </c>
      <c r="B735" s="857"/>
      <c r="C735" s="857"/>
      <c r="D735" s="874"/>
      <c r="E735" s="874"/>
      <c r="F735" s="874"/>
      <c r="G735" s="874"/>
      <c r="H735" s="874"/>
      <c r="I735" s="874"/>
      <c r="J735" s="874"/>
      <c r="K735" s="874"/>
      <c r="L735" s="874"/>
      <c r="M735" s="874"/>
      <c r="N735" s="874"/>
      <c r="O735" s="874"/>
      <c r="P735" s="874"/>
      <c r="Q735" s="874"/>
      <c r="R735" s="874"/>
      <c r="S735" s="874"/>
    </row>
    <row r="736" spans="1:19">
      <c r="A736" s="857"/>
      <c r="B736" s="857"/>
      <c r="C736" s="857"/>
      <c r="D736" s="874"/>
      <c r="E736" s="874"/>
      <c r="F736" s="874"/>
      <c r="G736" s="874"/>
      <c r="H736" s="874"/>
      <c r="I736" s="874"/>
      <c r="J736" s="874"/>
      <c r="K736" s="874"/>
      <c r="L736" s="874"/>
      <c r="M736" s="874"/>
      <c r="N736" s="874"/>
      <c r="O736" s="874"/>
      <c r="P736" s="874"/>
      <c r="Q736" s="874"/>
      <c r="R736" s="874"/>
      <c r="S736" s="874"/>
    </row>
    <row r="737" spans="1:19">
      <c r="A737" s="875" t="s">
        <v>728</v>
      </c>
      <c r="B737" s="866"/>
      <c r="C737" s="866"/>
      <c r="D737" s="874"/>
      <c r="E737" s="874"/>
      <c r="F737" s="874"/>
      <c r="G737" s="874"/>
      <c r="H737" s="874"/>
      <c r="I737" s="874"/>
      <c r="J737" s="874"/>
      <c r="K737" s="874"/>
      <c r="L737" s="874"/>
      <c r="M737" s="874"/>
      <c r="N737" s="874"/>
      <c r="O737" s="874"/>
      <c r="P737" s="874"/>
      <c r="Q737" s="874"/>
      <c r="R737" s="874"/>
      <c r="S737" s="874"/>
    </row>
    <row r="738" spans="1:19">
      <c r="A738" s="879"/>
      <c r="B738" s="857"/>
      <c r="C738" s="857"/>
      <c r="D738" s="874"/>
      <c r="E738" s="874"/>
      <c r="F738" s="874"/>
      <c r="G738" s="874"/>
      <c r="H738" s="874"/>
      <c r="I738" s="874"/>
      <c r="J738" s="874"/>
      <c r="K738" s="874"/>
      <c r="L738" s="874"/>
      <c r="M738" s="874"/>
      <c r="N738" s="874"/>
      <c r="O738" s="874"/>
      <c r="P738" s="874"/>
      <c r="Q738" s="874"/>
      <c r="R738" s="874"/>
      <c r="S738" s="874"/>
    </row>
    <row r="739" spans="1:19">
      <c r="A739" s="879" t="s">
        <v>959</v>
      </c>
      <c r="B739" s="857"/>
      <c r="C739" s="857"/>
      <c r="D739" s="874"/>
      <c r="E739" s="874"/>
      <c r="F739" s="874"/>
      <c r="G739" s="874"/>
      <c r="H739" s="874"/>
      <c r="I739" s="874"/>
      <c r="J739" s="874"/>
      <c r="K739" s="874"/>
      <c r="L739" s="874"/>
      <c r="M739" s="874"/>
      <c r="N739" s="874"/>
      <c r="O739" s="874"/>
      <c r="P739" s="874"/>
      <c r="Q739" s="874"/>
      <c r="R739" s="874"/>
      <c r="S739" s="874"/>
    </row>
    <row r="740" spans="1:19">
      <c r="A740" s="879" t="s">
        <v>962</v>
      </c>
      <c r="B740" s="857"/>
      <c r="C740" s="857"/>
      <c r="D740" s="874"/>
      <c r="E740" s="874"/>
      <c r="F740" s="874"/>
      <c r="G740" s="874"/>
      <c r="H740" s="874"/>
      <c r="I740" s="874"/>
      <c r="J740" s="874"/>
      <c r="K740" s="874"/>
      <c r="L740" s="874"/>
      <c r="M740" s="874"/>
      <c r="N740" s="874"/>
      <c r="O740" s="874"/>
      <c r="P740" s="874"/>
      <c r="Q740" s="874"/>
      <c r="R740" s="874"/>
      <c r="S740" s="874"/>
    </row>
    <row r="741" spans="1:19">
      <c r="A741" s="857"/>
      <c r="B741" s="857"/>
      <c r="C741" s="857"/>
      <c r="D741" s="874"/>
      <c r="E741" s="874"/>
      <c r="F741" s="874"/>
      <c r="G741" s="874"/>
      <c r="H741" s="874"/>
      <c r="I741" s="874"/>
      <c r="J741" s="874"/>
      <c r="K741" s="874"/>
      <c r="L741" s="874"/>
      <c r="M741" s="874"/>
      <c r="N741" s="874"/>
      <c r="O741" s="874"/>
      <c r="P741" s="874"/>
      <c r="Q741" s="874"/>
      <c r="R741" s="874"/>
      <c r="S741" s="874"/>
    </row>
    <row r="742" spans="1:19">
      <c r="A742" s="875" t="s">
        <v>729</v>
      </c>
      <c r="B742" s="866"/>
      <c r="C742" s="866"/>
      <c r="D742" s="874"/>
      <c r="E742" s="874"/>
      <c r="F742" s="874"/>
      <c r="G742" s="874"/>
      <c r="H742" s="874"/>
      <c r="I742" s="874"/>
      <c r="J742" s="874"/>
      <c r="K742" s="874"/>
      <c r="L742" s="874"/>
      <c r="M742" s="874"/>
      <c r="N742" s="874"/>
      <c r="O742" s="874"/>
      <c r="P742" s="874"/>
      <c r="Q742" s="874"/>
      <c r="R742" s="874"/>
      <c r="S742" s="874"/>
    </row>
    <row r="743" spans="1:19">
      <c r="A743" s="879"/>
      <c r="B743" s="857"/>
      <c r="C743" s="857"/>
      <c r="D743" s="874"/>
      <c r="E743" s="874"/>
      <c r="F743" s="874"/>
      <c r="G743" s="874"/>
      <c r="H743" s="874"/>
      <c r="I743" s="874"/>
      <c r="J743" s="874"/>
      <c r="K743" s="874"/>
      <c r="L743" s="874"/>
      <c r="M743" s="874"/>
      <c r="N743" s="874"/>
      <c r="O743" s="874"/>
      <c r="P743" s="874"/>
      <c r="Q743" s="874"/>
      <c r="R743" s="874"/>
      <c r="S743" s="874"/>
    </row>
    <row r="744" spans="1:19">
      <c r="A744" s="879" t="s">
        <v>957</v>
      </c>
      <c r="B744" s="857"/>
      <c r="C744" s="857"/>
      <c r="D744" s="874"/>
      <c r="E744" s="874"/>
      <c r="F744" s="874"/>
      <c r="G744" s="874"/>
      <c r="H744" s="874"/>
      <c r="I744" s="874"/>
      <c r="J744" s="874"/>
      <c r="K744" s="874"/>
      <c r="L744" s="874"/>
      <c r="M744" s="874"/>
      <c r="N744" s="874"/>
      <c r="O744" s="874"/>
      <c r="P744" s="874"/>
      <c r="Q744" s="874"/>
      <c r="R744" s="874"/>
      <c r="S744" s="874"/>
    </row>
    <row r="745" spans="1:19">
      <c r="A745" s="879" t="s">
        <v>960</v>
      </c>
      <c r="B745" s="857"/>
      <c r="C745" s="857"/>
      <c r="D745" s="874"/>
      <c r="E745" s="874"/>
      <c r="F745" s="874"/>
      <c r="G745" s="874"/>
      <c r="H745" s="874"/>
      <c r="I745" s="874"/>
      <c r="J745" s="874"/>
      <c r="K745" s="874"/>
      <c r="L745" s="874"/>
      <c r="M745" s="874"/>
      <c r="N745" s="874"/>
      <c r="O745" s="874"/>
      <c r="P745" s="874"/>
      <c r="Q745" s="874"/>
      <c r="R745" s="874"/>
      <c r="S745" s="874"/>
    </row>
    <row r="746" spans="1:19">
      <c r="A746" s="879" t="s">
        <v>963</v>
      </c>
      <c r="B746" s="857"/>
      <c r="C746" s="857"/>
      <c r="D746" s="874"/>
      <c r="E746" s="874"/>
      <c r="F746" s="874"/>
      <c r="G746" s="874"/>
      <c r="H746" s="874"/>
      <c r="I746" s="874"/>
      <c r="J746" s="874"/>
      <c r="K746" s="874"/>
      <c r="L746" s="874"/>
      <c r="M746" s="874"/>
      <c r="N746" s="874"/>
      <c r="O746" s="874"/>
      <c r="P746" s="874"/>
      <c r="Q746" s="874"/>
      <c r="R746" s="874"/>
      <c r="S746" s="874"/>
    </row>
    <row r="747" spans="1:19">
      <c r="A747" s="879" t="s">
        <v>964</v>
      </c>
      <c r="B747" s="857"/>
      <c r="C747" s="857"/>
      <c r="D747" s="874"/>
      <c r="E747" s="874"/>
      <c r="F747" s="874"/>
      <c r="G747" s="874"/>
      <c r="H747" s="874"/>
      <c r="I747" s="874"/>
      <c r="J747" s="874"/>
      <c r="K747" s="874"/>
      <c r="L747" s="874"/>
      <c r="M747" s="874"/>
      <c r="N747" s="874"/>
      <c r="O747" s="874"/>
      <c r="P747" s="874"/>
      <c r="Q747" s="874"/>
      <c r="R747" s="874"/>
      <c r="S747" s="874"/>
    </row>
    <row r="748" spans="1:19">
      <c r="A748" s="879" t="s">
        <v>965</v>
      </c>
      <c r="B748" s="857"/>
      <c r="C748" s="857"/>
      <c r="D748" s="874"/>
      <c r="E748" s="874"/>
      <c r="F748" s="874"/>
      <c r="G748" s="874"/>
      <c r="H748" s="874"/>
      <c r="I748" s="874"/>
      <c r="J748" s="874"/>
      <c r="K748" s="874"/>
      <c r="L748" s="874"/>
      <c r="M748" s="874"/>
      <c r="N748" s="874"/>
      <c r="O748" s="874"/>
      <c r="P748" s="874"/>
      <c r="Q748" s="874"/>
      <c r="R748" s="874"/>
      <c r="S748" s="874"/>
    </row>
    <row r="749" spans="1:19">
      <c r="A749" s="879" t="s">
        <v>947</v>
      </c>
      <c r="B749" s="857"/>
      <c r="C749" s="857"/>
      <c r="D749" s="874"/>
      <c r="E749" s="874"/>
      <c r="F749" s="874"/>
      <c r="G749" s="874"/>
      <c r="H749" s="874"/>
      <c r="I749" s="874"/>
      <c r="J749" s="874"/>
      <c r="K749" s="874"/>
      <c r="L749" s="874"/>
      <c r="M749" s="874"/>
      <c r="N749" s="874"/>
      <c r="O749" s="874"/>
      <c r="P749" s="874"/>
      <c r="Q749" s="874"/>
      <c r="R749" s="874"/>
      <c r="S749" s="874"/>
    </row>
    <row r="750" spans="1:19">
      <c r="A750" s="879" t="s">
        <v>948</v>
      </c>
      <c r="B750" s="857"/>
      <c r="C750" s="857"/>
      <c r="D750" s="874"/>
      <c r="E750" s="874"/>
      <c r="F750" s="874"/>
      <c r="G750" s="874"/>
      <c r="H750" s="874"/>
      <c r="I750" s="874"/>
      <c r="J750" s="874"/>
      <c r="K750" s="874"/>
      <c r="L750" s="874"/>
      <c r="M750" s="874"/>
      <c r="N750" s="874"/>
      <c r="O750" s="874"/>
      <c r="P750" s="874"/>
      <c r="Q750" s="874"/>
      <c r="R750" s="874"/>
      <c r="S750" s="874"/>
    </row>
    <row r="751" spans="1:19">
      <c r="A751" s="879" t="s">
        <v>949</v>
      </c>
      <c r="B751" s="857"/>
      <c r="C751" s="857"/>
      <c r="D751" s="874"/>
      <c r="E751" s="874"/>
      <c r="F751" s="874"/>
      <c r="G751" s="874"/>
      <c r="H751" s="874"/>
      <c r="I751" s="874"/>
      <c r="J751" s="874"/>
      <c r="K751" s="874"/>
      <c r="L751" s="874"/>
      <c r="M751" s="874"/>
      <c r="N751" s="874"/>
      <c r="O751" s="874"/>
      <c r="P751" s="874"/>
      <c r="Q751" s="874"/>
      <c r="R751" s="874"/>
      <c r="S751" s="874"/>
    </row>
    <row r="752" spans="1:19">
      <c r="A752" s="879" t="s">
        <v>944</v>
      </c>
      <c r="B752" s="857"/>
      <c r="C752" s="857"/>
      <c r="D752" s="874"/>
      <c r="E752" s="874"/>
      <c r="F752" s="874"/>
      <c r="G752" s="874"/>
      <c r="H752" s="874"/>
      <c r="I752" s="874"/>
      <c r="J752" s="874"/>
      <c r="K752" s="874"/>
      <c r="L752" s="874"/>
      <c r="M752" s="874"/>
      <c r="N752" s="874"/>
      <c r="O752" s="874"/>
      <c r="P752" s="874"/>
      <c r="Q752" s="874"/>
      <c r="R752" s="874"/>
      <c r="S752" s="874"/>
    </row>
    <row r="753" spans="1:19">
      <c r="A753" s="879" t="s">
        <v>950</v>
      </c>
      <c r="B753" s="857"/>
      <c r="C753" s="857"/>
      <c r="D753" s="874"/>
      <c r="E753" s="874"/>
      <c r="F753" s="874"/>
      <c r="G753" s="874"/>
      <c r="H753" s="874"/>
      <c r="I753" s="874"/>
      <c r="J753" s="874"/>
      <c r="K753" s="874"/>
      <c r="L753" s="874"/>
      <c r="M753" s="874"/>
      <c r="N753" s="874"/>
      <c r="O753" s="874"/>
      <c r="P753" s="874"/>
      <c r="Q753" s="874"/>
      <c r="R753" s="874"/>
      <c r="S753" s="874"/>
    </row>
    <row r="754" spans="1:19">
      <c r="A754" s="879" t="s">
        <v>951</v>
      </c>
      <c r="B754" s="857"/>
      <c r="C754" s="857"/>
      <c r="D754" s="874"/>
      <c r="E754" s="874"/>
      <c r="F754" s="874"/>
      <c r="G754" s="874"/>
      <c r="H754" s="874"/>
      <c r="I754" s="874"/>
      <c r="J754" s="874"/>
      <c r="K754" s="874"/>
      <c r="L754" s="874"/>
      <c r="M754" s="874"/>
      <c r="N754" s="874"/>
      <c r="O754" s="874"/>
      <c r="P754" s="874"/>
      <c r="Q754" s="874"/>
      <c r="R754" s="874"/>
      <c r="S754" s="874"/>
    </row>
    <row r="755" spans="1:19">
      <c r="A755" s="879" t="s">
        <v>446</v>
      </c>
      <c r="B755" s="857"/>
      <c r="C755" s="857"/>
      <c r="D755" s="874"/>
      <c r="E755" s="874"/>
      <c r="F755" s="874"/>
      <c r="G755" s="874"/>
      <c r="H755" s="874"/>
      <c r="I755" s="874"/>
      <c r="J755" s="874"/>
      <c r="K755" s="874"/>
      <c r="L755" s="874"/>
      <c r="M755" s="874"/>
      <c r="N755" s="874"/>
      <c r="O755" s="874"/>
      <c r="P755" s="874"/>
      <c r="Q755" s="874"/>
      <c r="R755" s="874"/>
      <c r="S755" s="874"/>
    </row>
    <row r="756" spans="1:19">
      <c r="A756" s="879" t="s">
        <v>447</v>
      </c>
      <c r="B756" s="857"/>
      <c r="C756" s="857"/>
      <c r="D756" s="874"/>
      <c r="E756" s="874"/>
      <c r="F756" s="874"/>
      <c r="G756" s="874"/>
      <c r="H756" s="874"/>
      <c r="I756" s="874"/>
      <c r="J756" s="874"/>
      <c r="K756" s="874"/>
      <c r="L756" s="874"/>
      <c r="M756" s="874"/>
      <c r="N756" s="874"/>
      <c r="O756" s="874"/>
      <c r="P756" s="874"/>
      <c r="Q756" s="874"/>
      <c r="R756" s="874"/>
      <c r="S756" s="874"/>
    </row>
    <row r="757" spans="1:19">
      <c r="A757" s="879" t="s">
        <v>448</v>
      </c>
      <c r="B757" s="857"/>
      <c r="C757" s="857"/>
      <c r="D757" s="874"/>
      <c r="E757" s="874"/>
      <c r="F757" s="874"/>
      <c r="G757" s="874"/>
      <c r="H757" s="874"/>
      <c r="I757" s="874"/>
      <c r="J757" s="874"/>
      <c r="K757" s="874"/>
      <c r="L757" s="874"/>
      <c r="M757" s="874"/>
      <c r="N757" s="874"/>
      <c r="O757" s="874"/>
      <c r="P757" s="874"/>
      <c r="Q757" s="874"/>
      <c r="R757" s="874"/>
      <c r="S757" s="874"/>
    </row>
    <row r="758" spans="1:19">
      <c r="A758" s="879" t="s">
        <v>449</v>
      </c>
      <c r="B758" s="857"/>
      <c r="C758" s="857"/>
      <c r="D758" s="874"/>
      <c r="E758" s="874"/>
      <c r="F758" s="874"/>
      <c r="G758" s="874"/>
      <c r="H758" s="874"/>
      <c r="I758" s="874"/>
      <c r="J758" s="874"/>
      <c r="K758" s="874"/>
      <c r="L758" s="874"/>
      <c r="M758" s="874"/>
      <c r="N758" s="874"/>
      <c r="O758" s="874"/>
      <c r="P758" s="874"/>
      <c r="Q758" s="874"/>
      <c r="R758" s="874"/>
      <c r="S758" s="874"/>
    </row>
    <row r="759" spans="1:19">
      <c r="A759" s="879" t="s">
        <v>450</v>
      </c>
      <c r="B759" s="857"/>
      <c r="C759" s="857"/>
      <c r="D759" s="874"/>
      <c r="E759" s="874"/>
      <c r="F759" s="874"/>
      <c r="G759" s="874"/>
      <c r="H759" s="874"/>
      <c r="I759" s="874"/>
      <c r="J759" s="874"/>
      <c r="K759" s="874"/>
      <c r="L759" s="874"/>
      <c r="M759" s="874"/>
      <c r="N759" s="874"/>
      <c r="O759" s="874"/>
      <c r="P759" s="874"/>
      <c r="Q759" s="874"/>
      <c r="R759" s="874"/>
      <c r="S759" s="874"/>
    </row>
    <row r="760" spans="1:19">
      <c r="A760" s="879" t="s">
        <v>451</v>
      </c>
      <c r="B760" s="857"/>
      <c r="C760" s="857"/>
      <c r="D760" s="874"/>
      <c r="E760" s="874"/>
      <c r="F760" s="874"/>
      <c r="G760" s="874"/>
      <c r="H760" s="874"/>
      <c r="I760" s="874"/>
      <c r="J760" s="874"/>
      <c r="K760" s="874"/>
      <c r="L760" s="874"/>
      <c r="M760" s="874"/>
      <c r="N760" s="874"/>
      <c r="O760" s="874"/>
      <c r="P760" s="874"/>
      <c r="Q760" s="874"/>
      <c r="R760" s="874"/>
      <c r="S760" s="874"/>
    </row>
    <row r="761" spans="1:19">
      <c r="A761" s="875" t="s">
        <v>955</v>
      </c>
      <c r="B761" s="875"/>
      <c r="C761" s="866"/>
      <c r="D761" s="874"/>
      <c r="E761" s="874"/>
      <c r="F761" s="874"/>
      <c r="G761" s="874"/>
      <c r="H761" s="874"/>
      <c r="I761" s="874"/>
      <c r="J761" s="874"/>
      <c r="K761" s="874"/>
      <c r="L761" s="874"/>
      <c r="M761" s="874"/>
      <c r="N761" s="874"/>
      <c r="O761" s="874"/>
      <c r="P761" s="874"/>
      <c r="Q761" s="874"/>
      <c r="R761" s="874"/>
      <c r="S761" s="874"/>
    </row>
    <row r="762" spans="1:19" s="874" customFormat="1">
      <c r="A762" s="879"/>
      <c r="B762" s="879"/>
      <c r="C762" s="857"/>
    </row>
    <row r="763" spans="1:19">
      <c r="A763" s="879" t="s">
        <v>958</v>
      </c>
      <c r="B763" s="879"/>
      <c r="C763" s="857"/>
      <c r="D763" s="874"/>
      <c r="E763" s="874"/>
      <c r="F763" s="874"/>
      <c r="G763" s="874"/>
      <c r="H763" s="874"/>
      <c r="I763" s="874"/>
      <c r="J763" s="874"/>
      <c r="K763" s="874"/>
      <c r="L763" s="874"/>
      <c r="M763" s="874"/>
      <c r="N763" s="874"/>
      <c r="O763" s="874"/>
      <c r="P763" s="874"/>
      <c r="Q763" s="874"/>
      <c r="R763" s="874"/>
      <c r="S763" s="874"/>
    </row>
    <row r="764" spans="1:19">
      <c r="A764" s="879" t="s">
        <v>945</v>
      </c>
      <c r="B764" s="879"/>
      <c r="C764" s="857"/>
      <c r="D764" s="874"/>
      <c r="E764" s="874"/>
      <c r="F764" s="874"/>
      <c r="G764" s="874"/>
      <c r="H764" s="874"/>
      <c r="I764" s="874"/>
      <c r="J764" s="874"/>
      <c r="K764" s="874"/>
      <c r="L764" s="874"/>
      <c r="M764" s="874"/>
      <c r="N764" s="874"/>
      <c r="O764" s="874"/>
      <c r="P764" s="874"/>
      <c r="Q764" s="874"/>
      <c r="R764" s="874"/>
      <c r="S764" s="874"/>
    </row>
    <row r="765" spans="1:19">
      <c r="A765" s="879"/>
      <c r="B765" s="879"/>
      <c r="C765" s="857"/>
      <c r="D765" s="874"/>
      <c r="E765" s="874"/>
      <c r="F765" s="874"/>
      <c r="G765" s="874"/>
      <c r="H765" s="874"/>
      <c r="I765" s="874"/>
      <c r="J765" s="874"/>
      <c r="K765" s="874"/>
      <c r="L765" s="874"/>
      <c r="M765" s="874"/>
      <c r="N765" s="874"/>
      <c r="O765" s="874"/>
      <c r="P765" s="874"/>
      <c r="Q765" s="874"/>
      <c r="R765" s="874"/>
      <c r="S765" s="874"/>
    </row>
    <row r="766" spans="1:19">
      <c r="A766" s="875" t="s">
        <v>956</v>
      </c>
      <c r="B766" s="875"/>
      <c r="C766" s="866"/>
      <c r="D766" s="874"/>
      <c r="E766" s="874"/>
      <c r="F766" s="874"/>
      <c r="G766" s="874"/>
      <c r="H766" s="874"/>
      <c r="I766" s="874"/>
      <c r="J766" s="874"/>
      <c r="K766" s="874"/>
      <c r="L766" s="874"/>
      <c r="M766" s="874"/>
      <c r="N766" s="874"/>
      <c r="O766" s="874"/>
      <c r="P766" s="874"/>
      <c r="Q766" s="874"/>
      <c r="R766" s="874"/>
      <c r="S766" s="874"/>
    </row>
    <row r="767" spans="1:19">
      <c r="A767" s="879"/>
      <c r="B767" s="879"/>
      <c r="C767" s="857"/>
      <c r="D767" s="874"/>
      <c r="E767" s="874"/>
      <c r="F767" s="874"/>
      <c r="G767" s="874"/>
      <c r="H767" s="874"/>
      <c r="I767" s="874"/>
      <c r="J767" s="874"/>
      <c r="K767" s="874"/>
      <c r="L767" s="874"/>
      <c r="M767" s="874"/>
      <c r="N767" s="874"/>
      <c r="O767" s="874"/>
      <c r="P767" s="874"/>
      <c r="Q767" s="874"/>
      <c r="R767" s="874"/>
      <c r="S767" s="874"/>
    </row>
    <row r="768" spans="1:19">
      <c r="A768" s="879" t="s">
        <v>961</v>
      </c>
      <c r="B768" s="857"/>
      <c r="C768" s="857"/>
      <c r="D768" s="874"/>
      <c r="E768" s="874"/>
      <c r="F768" s="874"/>
      <c r="G768" s="874"/>
      <c r="H768" s="874"/>
      <c r="I768" s="874"/>
      <c r="J768" s="874"/>
      <c r="K768" s="874"/>
      <c r="L768" s="874"/>
      <c r="M768" s="874"/>
      <c r="N768" s="874"/>
      <c r="O768" s="874"/>
      <c r="P768" s="874"/>
      <c r="Q768" s="874"/>
      <c r="R768" s="874"/>
      <c r="S768" s="874"/>
    </row>
    <row r="769" spans="1:19">
      <c r="A769" s="879" t="s">
        <v>1754</v>
      </c>
      <c r="B769" s="857"/>
      <c r="C769" s="857"/>
      <c r="D769" s="874"/>
      <c r="E769" s="874"/>
      <c r="F769" s="874"/>
      <c r="G769" s="874"/>
      <c r="H769" s="874"/>
      <c r="I769" s="874"/>
      <c r="J769" s="874"/>
      <c r="K769" s="874"/>
      <c r="L769" s="874"/>
      <c r="M769" s="874"/>
      <c r="N769" s="874"/>
      <c r="O769" s="874"/>
      <c r="P769" s="874"/>
      <c r="Q769" s="874"/>
      <c r="R769" s="874"/>
      <c r="S769" s="874"/>
    </row>
    <row r="770" spans="1:19">
      <c r="A770" s="879" t="s">
        <v>1755</v>
      </c>
      <c r="B770" s="857"/>
      <c r="C770" s="857"/>
      <c r="D770" s="874"/>
      <c r="E770" s="874"/>
      <c r="F770" s="874"/>
      <c r="G770" s="874"/>
      <c r="H770" s="874"/>
      <c r="I770" s="874"/>
      <c r="J770" s="874"/>
      <c r="K770" s="874"/>
      <c r="L770" s="874"/>
      <c r="M770" s="874"/>
      <c r="N770" s="874"/>
      <c r="O770" s="874"/>
      <c r="P770" s="874"/>
      <c r="Q770" s="874"/>
      <c r="R770" s="874"/>
      <c r="S770" s="874"/>
    </row>
    <row r="771" spans="1:19">
      <c r="A771" s="879" t="s">
        <v>1756</v>
      </c>
      <c r="B771" s="857"/>
      <c r="C771" s="857"/>
      <c r="D771" s="874"/>
      <c r="E771" s="874"/>
      <c r="F771" s="874"/>
      <c r="G771" s="874"/>
      <c r="H771" s="874"/>
      <c r="I771" s="874"/>
      <c r="J771" s="874"/>
      <c r="K771" s="874"/>
      <c r="L771" s="874"/>
      <c r="M771" s="874"/>
      <c r="N771" s="874"/>
      <c r="O771" s="874"/>
      <c r="P771" s="874"/>
      <c r="Q771" s="874"/>
      <c r="R771" s="874"/>
      <c r="S771" s="874"/>
    </row>
    <row r="772" spans="1:19">
      <c r="A772" s="879" t="s">
        <v>1791</v>
      </c>
      <c r="B772" s="1491" t="s">
        <v>1792</v>
      </c>
      <c r="C772" s="857"/>
      <c r="D772" s="874"/>
      <c r="E772" s="874"/>
      <c r="F772" s="874"/>
      <c r="G772" s="874"/>
      <c r="H772" s="874"/>
      <c r="I772" s="874"/>
      <c r="J772" s="874"/>
      <c r="K772" s="874"/>
      <c r="L772" s="874"/>
      <c r="M772" s="874"/>
      <c r="N772" s="874"/>
      <c r="O772" s="874"/>
      <c r="P772" s="874"/>
      <c r="Q772" s="874"/>
      <c r="R772" s="874"/>
      <c r="S772" s="874"/>
    </row>
    <row r="773" spans="1:19">
      <c r="A773" s="879" t="s">
        <v>40</v>
      </c>
      <c r="B773" s="857"/>
      <c r="C773" s="857"/>
      <c r="D773" s="874"/>
      <c r="E773" s="874"/>
      <c r="F773" s="874"/>
      <c r="G773" s="874"/>
      <c r="H773" s="874"/>
      <c r="I773" s="874"/>
      <c r="J773" s="874"/>
      <c r="K773" s="874"/>
      <c r="L773" s="874"/>
      <c r="M773" s="874"/>
      <c r="N773" s="874"/>
      <c r="O773" s="874"/>
      <c r="P773" s="874"/>
      <c r="Q773" s="874"/>
      <c r="R773" s="874"/>
      <c r="S773" s="874"/>
    </row>
    <row r="774" spans="1:19">
      <c r="A774" s="857"/>
      <c r="B774" s="857"/>
      <c r="C774" s="857"/>
      <c r="D774" s="874"/>
      <c r="E774" s="874"/>
      <c r="F774" s="874"/>
      <c r="G774" s="874"/>
      <c r="H774" s="874"/>
      <c r="I774" s="874"/>
      <c r="J774" s="874"/>
      <c r="K774" s="874"/>
      <c r="L774" s="874"/>
      <c r="M774" s="874"/>
      <c r="N774" s="874"/>
      <c r="O774" s="874"/>
      <c r="P774" s="874"/>
      <c r="Q774" s="874"/>
      <c r="R774" s="874"/>
      <c r="S774" s="874"/>
    </row>
    <row r="775" spans="1:19">
      <c r="A775" s="875" t="s">
        <v>1758</v>
      </c>
      <c r="B775" s="875"/>
      <c r="C775" s="866"/>
      <c r="D775" s="874"/>
      <c r="E775" s="874"/>
      <c r="F775" s="874"/>
      <c r="G775" s="874"/>
      <c r="H775" s="874"/>
      <c r="I775" s="874"/>
      <c r="J775" s="874"/>
      <c r="K775" s="874"/>
      <c r="L775" s="874"/>
      <c r="M775" s="874"/>
      <c r="N775" s="874"/>
      <c r="O775" s="874"/>
      <c r="P775" s="874"/>
      <c r="Q775" s="874"/>
      <c r="R775" s="874"/>
      <c r="S775" s="874"/>
    </row>
    <row r="776" spans="1:19">
      <c r="A776" s="879"/>
      <c r="B776" s="879"/>
      <c r="C776" s="857"/>
      <c r="D776" s="874"/>
      <c r="E776" s="874"/>
      <c r="F776" s="874"/>
      <c r="G776" s="874"/>
      <c r="H776" s="874"/>
      <c r="I776" s="874"/>
      <c r="J776" s="874"/>
      <c r="K776" s="874"/>
      <c r="L776" s="874"/>
      <c r="M776" s="874"/>
      <c r="N776" s="874"/>
      <c r="O776" s="874"/>
      <c r="P776" s="874"/>
      <c r="Q776" s="874"/>
      <c r="R776" s="874"/>
      <c r="S776" s="874"/>
    </row>
    <row r="777" spans="1:19">
      <c r="A777" s="879" t="s">
        <v>1759</v>
      </c>
      <c r="B777" s="857"/>
      <c r="C777" s="857"/>
      <c r="D777" s="874"/>
      <c r="E777" s="874"/>
      <c r="F777" s="874"/>
      <c r="G777" s="874"/>
      <c r="H777" s="874"/>
      <c r="I777" s="874"/>
      <c r="J777" s="874"/>
      <c r="K777" s="874"/>
      <c r="L777" s="874"/>
      <c r="M777" s="874"/>
      <c r="N777" s="874"/>
      <c r="O777" s="874"/>
      <c r="P777" s="874"/>
      <c r="Q777" s="874"/>
      <c r="R777" s="874"/>
      <c r="S777" s="874"/>
    </row>
    <row r="778" spans="1:19">
      <c r="A778" s="879" t="s">
        <v>1760</v>
      </c>
      <c r="B778" s="857"/>
      <c r="C778" s="857"/>
      <c r="D778" s="874"/>
      <c r="E778" s="874"/>
      <c r="F778" s="874"/>
      <c r="G778" s="874"/>
      <c r="H778" s="874"/>
      <c r="I778" s="874"/>
      <c r="J778" s="874"/>
      <c r="K778" s="874"/>
      <c r="L778" s="874"/>
      <c r="M778" s="874"/>
      <c r="N778" s="874"/>
      <c r="O778" s="874"/>
      <c r="P778" s="874"/>
      <c r="Q778" s="874"/>
      <c r="R778" s="874"/>
      <c r="S778" s="874"/>
    </row>
    <row r="779" spans="1:19">
      <c r="A779" s="879" t="s">
        <v>1761</v>
      </c>
      <c r="B779" s="857"/>
      <c r="C779" s="857"/>
      <c r="D779" s="874"/>
      <c r="E779" s="874"/>
      <c r="F779" s="874"/>
      <c r="G779" s="874"/>
      <c r="H779" s="874"/>
      <c r="I779" s="874"/>
      <c r="J779" s="874"/>
      <c r="K779" s="874"/>
      <c r="L779" s="874"/>
      <c r="M779" s="874"/>
      <c r="N779" s="874"/>
      <c r="O779" s="874"/>
      <c r="P779" s="874"/>
      <c r="Q779" s="874"/>
      <c r="R779" s="874"/>
      <c r="S779" s="874"/>
    </row>
    <row r="780" spans="1:19">
      <c r="A780" s="879" t="s">
        <v>1762</v>
      </c>
      <c r="B780" s="857"/>
      <c r="C780" s="857"/>
      <c r="D780" s="874"/>
      <c r="E780" s="874"/>
      <c r="F780" s="874"/>
      <c r="G780" s="874"/>
      <c r="H780" s="874"/>
      <c r="I780" s="874"/>
      <c r="J780" s="874"/>
      <c r="K780" s="874"/>
      <c r="L780" s="874"/>
      <c r="M780" s="874"/>
      <c r="N780" s="874"/>
      <c r="O780" s="874"/>
      <c r="P780" s="874"/>
      <c r="Q780" s="874"/>
      <c r="R780" s="874"/>
      <c r="S780" s="874"/>
    </row>
    <row r="781" spans="1:19">
      <c r="A781" s="879"/>
      <c r="B781" s="857"/>
      <c r="C781" s="857"/>
      <c r="D781" s="874"/>
      <c r="E781" s="874"/>
      <c r="F781" s="874"/>
      <c r="G781" s="874"/>
      <c r="H781" s="874"/>
      <c r="I781" s="874"/>
      <c r="J781" s="874"/>
      <c r="K781" s="874"/>
      <c r="L781" s="874"/>
      <c r="M781" s="874"/>
      <c r="N781" s="874"/>
      <c r="O781" s="874"/>
      <c r="P781" s="874"/>
      <c r="Q781" s="874"/>
      <c r="R781" s="874"/>
      <c r="S781" s="874"/>
    </row>
    <row r="782" spans="1:19">
      <c r="A782" s="875" t="s">
        <v>1763</v>
      </c>
      <c r="B782" s="875"/>
      <c r="C782" s="866"/>
      <c r="D782" s="874"/>
      <c r="E782" s="874"/>
      <c r="F782" s="874"/>
      <c r="G782" s="874"/>
      <c r="H782" s="874"/>
      <c r="I782" s="874"/>
      <c r="J782" s="874"/>
      <c r="K782" s="874"/>
      <c r="L782" s="874"/>
      <c r="M782" s="874"/>
      <c r="N782" s="874"/>
      <c r="O782" s="874"/>
      <c r="P782" s="874"/>
      <c r="Q782" s="874"/>
      <c r="R782" s="874"/>
      <c r="S782" s="874"/>
    </row>
    <row r="783" spans="1:19">
      <c r="A783" s="879"/>
      <c r="B783" s="857"/>
      <c r="C783" s="857"/>
      <c r="D783" s="874"/>
      <c r="E783" s="874"/>
      <c r="F783" s="874"/>
      <c r="G783" s="874"/>
      <c r="H783" s="874"/>
      <c r="I783" s="874"/>
      <c r="J783" s="874"/>
      <c r="K783" s="874"/>
      <c r="L783" s="874"/>
      <c r="M783" s="874"/>
      <c r="N783" s="874"/>
      <c r="O783" s="874"/>
      <c r="P783" s="874"/>
      <c r="Q783" s="874"/>
      <c r="R783" s="874"/>
      <c r="S783" s="874"/>
    </row>
    <row r="784" spans="1:19">
      <c r="A784" s="879" t="s">
        <v>1764</v>
      </c>
      <c r="B784" s="857"/>
      <c r="C784" s="857"/>
      <c r="D784" s="874"/>
      <c r="E784" s="874"/>
      <c r="F784" s="874"/>
      <c r="G784" s="874"/>
      <c r="H784" s="874"/>
      <c r="I784" s="874"/>
      <c r="J784" s="874"/>
      <c r="K784" s="874"/>
      <c r="L784" s="874"/>
      <c r="M784" s="874"/>
      <c r="N784" s="874"/>
      <c r="O784" s="874"/>
      <c r="P784" s="874"/>
      <c r="Q784" s="874"/>
      <c r="R784" s="874"/>
      <c r="S784" s="874"/>
    </row>
    <row r="785" spans="1:19">
      <c r="A785" s="879"/>
      <c r="B785" s="857"/>
      <c r="C785" s="857"/>
      <c r="D785" s="874"/>
      <c r="E785" s="874"/>
      <c r="F785" s="874"/>
      <c r="G785" s="874"/>
      <c r="H785" s="874"/>
      <c r="I785" s="874"/>
      <c r="J785" s="874"/>
      <c r="K785" s="874"/>
      <c r="L785" s="874"/>
      <c r="M785" s="874"/>
      <c r="N785" s="874"/>
      <c r="O785" s="874"/>
      <c r="P785" s="874"/>
      <c r="Q785" s="874"/>
      <c r="R785" s="874"/>
      <c r="S785" s="874"/>
    </row>
    <row r="786" spans="1:19">
      <c r="A786" s="875" t="s">
        <v>1080</v>
      </c>
      <c r="B786" s="875"/>
      <c r="C786" s="866"/>
      <c r="D786" s="874"/>
      <c r="E786" s="874"/>
      <c r="F786" s="874"/>
      <c r="G786" s="874"/>
      <c r="H786" s="874"/>
      <c r="I786" s="874"/>
      <c r="J786" s="874"/>
      <c r="K786" s="874"/>
      <c r="L786" s="874"/>
      <c r="M786" s="874"/>
      <c r="N786" s="874"/>
      <c r="O786" s="874"/>
      <c r="P786" s="874"/>
      <c r="Q786" s="874"/>
      <c r="R786" s="874"/>
      <c r="S786" s="874"/>
    </row>
    <row r="787" spans="1:19">
      <c r="A787" s="857"/>
      <c r="B787" s="857"/>
      <c r="C787" s="857"/>
      <c r="D787" s="874"/>
      <c r="E787" s="874"/>
      <c r="F787" s="874"/>
      <c r="G787" s="874"/>
      <c r="H787" s="874"/>
      <c r="I787" s="874"/>
      <c r="J787" s="874"/>
      <c r="K787" s="874"/>
      <c r="L787" s="874"/>
      <c r="M787" s="874"/>
      <c r="N787" s="874"/>
      <c r="O787" s="874"/>
      <c r="P787" s="874"/>
      <c r="Q787" s="874"/>
      <c r="R787" s="874"/>
      <c r="S787" s="874"/>
    </row>
    <row r="788" spans="1:19">
      <c r="A788" s="857">
        <v>0.08</v>
      </c>
      <c r="B788" s="857"/>
      <c r="C788" s="857"/>
      <c r="D788" s="874"/>
      <c r="E788" s="874"/>
      <c r="F788" s="874"/>
      <c r="G788" s="874"/>
      <c r="H788" s="874"/>
      <c r="I788" s="874"/>
      <c r="J788" s="874"/>
      <c r="K788" s="874"/>
      <c r="L788" s="874"/>
      <c r="M788" s="874"/>
      <c r="N788" s="874"/>
      <c r="O788" s="874"/>
      <c r="P788" s="874"/>
      <c r="Q788" s="874"/>
      <c r="R788" s="874"/>
      <c r="S788" s="874"/>
    </row>
    <row r="789" spans="1:19">
      <c r="A789" s="857"/>
      <c r="B789" s="857"/>
      <c r="C789" s="857"/>
      <c r="D789" s="874"/>
      <c r="E789" s="874"/>
      <c r="F789" s="874"/>
      <c r="G789" s="874"/>
      <c r="H789" s="874"/>
      <c r="I789" s="874"/>
      <c r="J789" s="874"/>
      <c r="K789" s="874"/>
      <c r="L789" s="874"/>
      <c r="M789" s="874"/>
      <c r="N789" s="874"/>
      <c r="O789" s="874"/>
      <c r="P789" s="874"/>
      <c r="Q789" s="874"/>
      <c r="R789" s="874"/>
      <c r="S789" s="874"/>
    </row>
    <row r="790" spans="1:19">
      <c r="A790" s="875" t="s">
        <v>2255</v>
      </c>
      <c r="B790" s="875"/>
      <c r="C790" s="866"/>
      <c r="D790" s="874"/>
      <c r="E790" s="874"/>
      <c r="F790" s="874"/>
      <c r="G790" s="874"/>
      <c r="H790" s="874"/>
      <c r="I790" s="874"/>
      <c r="J790" s="874"/>
      <c r="K790" s="874"/>
      <c r="L790" s="874"/>
      <c r="M790" s="874"/>
      <c r="N790" s="874"/>
      <c r="O790" s="874"/>
      <c r="P790" s="874"/>
      <c r="Q790" s="874"/>
      <c r="R790" s="874"/>
      <c r="S790" s="874"/>
    </row>
    <row r="791" spans="1:19">
      <c r="A791" s="857"/>
      <c r="B791" s="857"/>
      <c r="C791" s="857"/>
      <c r="D791" s="874"/>
      <c r="E791" s="874"/>
      <c r="F791" s="874"/>
      <c r="G791" s="874"/>
      <c r="H791" s="874"/>
      <c r="I791" s="874"/>
      <c r="J791" s="874"/>
      <c r="K791" s="874"/>
      <c r="L791" s="874"/>
      <c r="M791" s="874"/>
      <c r="N791" s="874"/>
      <c r="O791" s="874"/>
      <c r="P791" s="874"/>
      <c r="Q791" s="874"/>
      <c r="R791" s="874"/>
      <c r="S791" s="874"/>
    </row>
    <row r="792" spans="1:19">
      <c r="A792" s="857" t="s">
        <v>2269</v>
      </c>
      <c r="B792" s="857">
        <v>2021</v>
      </c>
      <c r="C792" s="857"/>
      <c r="D792" s="874"/>
      <c r="E792" s="874"/>
      <c r="F792" s="874"/>
      <c r="G792" s="874"/>
      <c r="H792" s="874"/>
      <c r="I792" s="874"/>
      <c r="J792" s="874"/>
      <c r="K792" s="874"/>
      <c r="L792" s="874"/>
      <c r="M792" s="874"/>
      <c r="N792" s="874"/>
      <c r="O792" s="874"/>
      <c r="P792" s="874"/>
      <c r="Q792" s="874"/>
      <c r="R792" s="874"/>
      <c r="S792" s="874"/>
    </row>
    <row r="793" spans="1:19">
      <c r="A793" s="857" t="s">
        <v>2268</v>
      </c>
      <c r="B793" s="857">
        <v>2020</v>
      </c>
      <c r="C793" s="857"/>
      <c r="D793" s="874"/>
      <c r="E793" s="874"/>
      <c r="F793" s="874"/>
      <c r="G793" s="874"/>
      <c r="H793" s="874"/>
      <c r="I793" s="874"/>
      <c r="J793" s="874"/>
      <c r="K793" s="874"/>
      <c r="L793" s="874"/>
      <c r="M793" s="874"/>
      <c r="N793" s="874"/>
      <c r="O793" s="874"/>
      <c r="P793" s="874"/>
      <c r="Q793" s="874"/>
      <c r="R793" s="874"/>
      <c r="S793" s="874"/>
    </row>
    <row r="794" spans="1:19">
      <c r="A794" s="857" t="s">
        <v>2267</v>
      </c>
      <c r="B794" s="857">
        <v>2019</v>
      </c>
      <c r="C794" s="857"/>
      <c r="D794" s="874"/>
      <c r="E794" s="874"/>
      <c r="F794" s="874"/>
      <c r="G794" s="874"/>
      <c r="H794" s="874"/>
      <c r="I794" s="874"/>
      <c r="J794" s="874"/>
      <c r="K794" s="874"/>
      <c r="L794" s="874"/>
      <c r="M794" s="874"/>
      <c r="N794" s="874"/>
      <c r="O794" s="874"/>
      <c r="P794" s="874"/>
      <c r="Q794" s="874"/>
      <c r="R794" s="874"/>
      <c r="S794" s="874"/>
    </row>
    <row r="795" spans="1:19">
      <c r="A795" s="857" t="s">
        <v>2266</v>
      </c>
      <c r="B795" s="857">
        <v>2019</v>
      </c>
      <c r="C795" s="857"/>
      <c r="D795" s="874"/>
      <c r="E795" s="874"/>
      <c r="F795" s="874"/>
      <c r="G795" s="874"/>
      <c r="H795" s="874"/>
      <c r="I795" s="874"/>
      <c r="J795" s="874"/>
      <c r="K795" s="874"/>
      <c r="L795" s="874"/>
      <c r="M795" s="874"/>
      <c r="N795" s="874"/>
      <c r="O795" s="874"/>
      <c r="P795" s="874"/>
      <c r="Q795" s="874"/>
      <c r="R795" s="874"/>
      <c r="S795" s="874"/>
    </row>
    <row r="796" spans="1:19">
      <c r="A796" s="857" t="s">
        <v>2265</v>
      </c>
      <c r="B796" s="857">
        <v>2018</v>
      </c>
      <c r="C796" s="857"/>
      <c r="D796" s="874"/>
      <c r="E796" s="874"/>
      <c r="F796" s="874"/>
      <c r="G796" s="874"/>
      <c r="H796" s="874"/>
      <c r="I796" s="874"/>
      <c r="J796" s="874"/>
      <c r="K796" s="874"/>
      <c r="L796" s="874"/>
      <c r="M796" s="874"/>
      <c r="N796" s="874"/>
      <c r="O796" s="874"/>
      <c r="P796" s="874"/>
      <c r="Q796" s="874"/>
      <c r="R796" s="874"/>
      <c r="S796" s="874"/>
    </row>
    <row r="797" spans="1:19">
      <c r="A797" s="857" t="s">
        <v>2264</v>
      </c>
      <c r="B797" s="857">
        <v>2017</v>
      </c>
      <c r="C797" s="857"/>
    </row>
    <row r="798" spans="1:19">
      <c r="A798" s="857" t="s">
        <v>2263</v>
      </c>
      <c r="B798" s="857">
        <v>2016</v>
      </c>
      <c r="C798" s="857"/>
    </row>
    <row r="799" spans="1:19">
      <c r="A799" s="857" t="s">
        <v>2262</v>
      </c>
      <c r="B799" s="857">
        <v>2015</v>
      </c>
      <c r="C799" s="857"/>
    </row>
    <row r="800" spans="1:19">
      <c r="A800" s="857" t="s">
        <v>2261</v>
      </c>
      <c r="B800" s="857">
        <v>2014</v>
      </c>
      <c r="C800" s="857"/>
    </row>
    <row r="801" spans="1:19">
      <c r="A801" s="857" t="s">
        <v>2260</v>
      </c>
      <c r="B801" s="857">
        <v>2013</v>
      </c>
      <c r="C801" s="857"/>
    </row>
    <row r="803" spans="1:19">
      <c r="A803" s="875" t="s">
        <v>2256</v>
      </c>
      <c r="B803" s="875"/>
      <c r="C803" s="866"/>
      <c r="D803" s="874"/>
      <c r="E803" s="874"/>
      <c r="F803" s="874"/>
      <c r="G803" s="874"/>
      <c r="H803" s="874"/>
      <c r="I803" s="874"/>
      <c r="J803" s="874"/>
      <c r="K803" s="874"/>
      <c r="L803" s="874"/>
      <c r="M803" s="874"/>
      <c r="N803" s="874"/>
      <c r="O803" s="874"/>
      <c r="P803" s="874"/>
      <c r="Q803" s="874"/>
      <c r="R803" s="874"/>
      <c r="S803" s="874"/>
    </row>
    <row r="805" spans="1:19">
      <c r="A805" s="880">
        <v>1</v>
      </c>
    </row>
    <row r="806" spans="1:19">
      <c r="A806" s="880">
        <v>2</v>
      </c>
    </row>
    <row r="807" spans="1:19">
      <c r="A807" s="880">
        <v>3</v>
      </c>
    </row>
    <row r="808" spans="1:19">
      <c r="A808" s="880">
        <v>4</v>
      </c>
    </row>
    <row r="809" spans="1:19">
      <c r="A809" s="880">
        <v>5</v>
      </c>
    </row>
    <row r="810" spans="1:19">
      <c r="A810" s="880">
        <v>6</v>
      </c>
    </row>
    <row r="811" spans="1:19">
      <c r="A811" s="880">
        <v>7</v>
      </c>
    </row>
    <row r="812" spans="1:19">
      <c r="A812" s="880">
        <v>8</v>
      </c>
    </row>
    <row r="813" spans="1:19">
      <c r="A813" s="880">
        <v>9</v>
      </c>
    </row>
    <row r="814" spans="1:19">
      <c r="A814" s="880">
        <v>10</v>
      </c>
    </row>
    <row r="815" spans="1:19">
      <c r="A815" s="880">
        <v>11</v>
      </c>
    </row>
    <row r="816" spans="1:19">
      <c r="A816" s="880">
        <v>12</v>
      </c>
    </row>
    <row r="818" spans="1:19">
      <c r="A818" s="875" t="s">
        <v>2257</v>
      </c>
      <c r="B818" s="875"/>
      <c r="C818" s="866"/>
      <c r="D818" s="874"/>
      <c r="E818" s="874"/>
      <c r="F818" s="874"/>
      <c r="G818" s="874"/>
      <c r="H818" s="874"/>
      <c r="I818" s="874"/>
      <c r="J818" s="874"/>
      <c r="K818" s="874"/>
      <c r="L818" s="874"/>
      <c r="M818" s="874"/>
      <c r="N818" s="874"/>
      <c r="O818" s="874"/>
      <c r="P818" s="874"/>
      <c r="Q818" s="874"/>
      <c r="R818" s="874"/>
      <c r="S818" s="874"/>
    </row>
    <row r="820" spans="1:19">
      <c r="A820" s="880">
        <v>1</v>
      </c>
    </row>
    <row r="821" spans="1:19">
      <c r="A821" s="880">
        <v>2</v>
      </c>
    </row>
    <row r="822" spans="1:19">
      <c r="A822" s="880">
        <v>3</v>
      </c>
    </row>
    <row r="823" spans="1:19">
      <c r="A823" s="880">
        <v>4</v>
      </c>
    </row>
    <row r="824" spans="1:19">
      <c r="A824" s="880">
        <v>5</v>
      </c>
    </row>
    <row r="825" spans="1:19">
      <c r="A825" s="880">
        <v>6</v>
      </c>
    </row>
    <row r="826" spans="1:19">
      <c r="A826" s="880">
        <v>7</v>
      </c>
    </row>
    <row r="827" spans="1:19">
      <c r="A827" s="880">
        <v>8</v>
      </c>
    </row>
    <row r="828" spans="1:19">
      <c r="A828" s="880">
        <v>9</v>
      </c>
    </row>
    <row r="829" spans="1:19">
      <c r="A829" s="880">
        <v>10</v>
      </c>
    </row>
    <row r="830" spans="1:19">
      <c r="A830" s="880">
        <v>11</v>
      </c>
    </row>
    <row r="831" spans="1:19">
      <c r="A831" s="880">
        <v>12</v>
      </c>
    </row>
    <row r="832" spans="1:19">
      <c r="A832" s="880">
        <v>13</v>
      </c>
    </row>
    <row r="833" spans="1:1">
      <c r="A833" s="880">
        <v>14</v>
      </c>
    </row>
    <row r="834" spans="1:1">
      <c r="A834" s="880">
        <v>15</v>
      </c>
    </row>
    <row r="835" spans="1:1">
      <c r="A835" s="880">
        <v>16</v>
      </c>
    </row>
    <row r="836" spans="1:1">
      <c r="A836" s="880">
        <v>17</v>
      </c>
    </row>
    <row r="837" spans="1:1">
      <c r="A837" s="880">
        <v>18</v>
      </c>
    </row>
    <row r="838" spans="1:1">
      <c r="A838" s="880">
        <v>19</v>
      </c>
    </row>
    <row r="839" spans="1:1">
      <c r="A839" s="880">
        <v>20</v>
      </c>
    </row>
    <row r="840" spans="1:1">
      <c r="A840" s="880">
        <v>21</v>
      </c>
    </row>
    <row r="841" spans="1:1">
      <c r="A841" s="880">
        <v>22</v>
      </c>
    </row>
    <row r="842" spans="1:1">
      <c r="A842" s="880">
        <v>23</v>
      </c>
    </row>
    <row r="843" spans="1:1">
      <c r="A843" s="880">
        <v>24</v>
      </c>
    </row>
    <row r="844" spans="1:1">
      <c r="A844" s="880">
        <v>25</v>
      </c>
    </row>
    <row r="845" spans="1:1">
      <c r="A845" s="880">
        <v>26</v>
      </c>
    </row>
    <row r="846" spans="1:1">
      <c r="A846" s="880">
        <v>27</v>
      </c>
    </row>
    <row r="847" spans="1:1">
      <c r="A847" s="880">
        <v>28</v>
      </c>
    </row>
    <row r="848" spans="1:1">
      <c r="A848" s="880">
        <v>29</v>
      </c>
    </row>
    <row r="849" spans="1:1">
      <c r="A849" s="880">
        <v>30</v>
      </c>
    </row>
    <row r="850" spans="1:1">
      <c r="A850" s="880">
        <v>31</v>
      </c>
    </row>
  </sheetData>
  <autoFilter ref="A374:V413" xr:uid="{6BDEDFA4-4E41-40DD-94B4-4066D8C85C31}"/>
  <sortState xmlns:xlrd2="http://schemas.microsoft.com/office/spreadsheetml/2017/richdata2" ref="A189:H193">
    <sortCondition ref="A189:A193"/>
  </sortState>
  <phoneticPr fontId="5"/>
  <pageMargins left="0.75" right="0.75" top="1" bottom="1" header="0.51200000000000001" footer="0.51200000000000001"/>
  <pageSetup paperSize="8" scale="95" orientation="portrait" r:id="rId1"/>
  <headerFooter alignWithMargins="0">
    <oddHeader>&amp;L&amp;A</oddHeader>
  </headerFooter>
  <rowBreaks count="6" manualBreakCount="6">
    <brk id="86" max="4" man="1"/>
    <brk id="156" max="4" man="1"/>
    <brk id="198" max="4" man="1"/>
    <brk id="501" max="16383" man="1"/>
    <brk id="611" max="4" man="1"/>
    <brk id="695"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9CCFF"/>
  </sheetPr>
  <dimension ref="A1:W94"/>
  <sheetViews>
    <sheetView showGridLines="0" topLeftCell="A2" zoomScaleNormal="100" zoomScaleSheetLayoutView="85" workbookViewId="0">
      <selection activeCell="G4" sqref="G4"/>
    </sheetView>
  </sheetViews>
  <sheetFormatPr defaultRowHeight="13.5"/>
  <cols>
    <col min="1" max="1" width="1.625" style="3" customWidth="1"/>
    <col min="2" max="3" width="3.625" style="3" customWidth="1"/>
    <col min="4" max="4" width="25" style="3" customWidth="1"/>
    <col min="5" max="5" width="14.5" style="140" customWidth="1"/>
    <col min="6" max="6" width="3.375" style="152" customWidth="1"/>
    <col min="7" max="7" width="35.375" style="5" customWidth="1"/>
    <col min="8" max="8" width="9.625" style="5" customWidth="1"/>
    <col min="9" max="9" width="20.75" style="5" bestFit="1" customWidth="1"/>
    <col min="10" max="10" width="16.75" style="5" hidden="1" customWidth="1"/>
    <col min="11" max="11" width="13.5" style="21" hidden="1" customWidth="1"/>
    <col min="12" max="12" width="13.125" style="21" hidden="1" customWidth="1"/>
    <col min="13" max="14" width="9" style="21" customWidth="1"/>
    <col min="15" max="15" width="2.5" style="88" customWidth="1"/>
    <col min="16" max="19" width="4.75" style="88" customWidth="1"/>
    <col min="20" max="20" width="7.625" style="88" customWidth="1"/>
    <col min="21" max="21" width="4.5" style="88" customWidth="1"/>
    <col min="22" max="22" width="4.75" style="88" customWidth="1"/>
    <col min="23" max="16384" width="9" style="5"/>
  </cols>
  <sheetData>
    <row r="1" spans="1:23" ht="8.25" hidden="1" customHeight="1">
      <c r="A1" s="808" t="s">
        <v>642</v>
      </c>
      <c r="B1" s="808">
        <f>COUNTIF($F$4:$F$56,"※")</f>
        <v>21</v>
      </c>
      <c r="C1" s="809" t="s">
        <v>643</v>
      </c>
      <c r="D1" s="808">
        <f>COUNTIF($F$4:$F$56,"E")</f>
        <v>0</v>
      </c>
      <c r="I1" s="87"/>
      <c r="J1" s="542"/>
      <c r="K1" s="543"/>
      <c r="L1" s="543"/>
      <c r="M1" s="543"/>
      <c r="N1" s="543"/>
      <c r="O1" s="827"/>
      <c r="P1" s="827"/>
      <c r="Q1" s="827"/>
      <c r="R1" s="827"/>
      <c r="S1" s="827"/>
      <c r="T1" s="827"/>
      <c r="U1" s="827"/>
      <c r="V1" s="827"/>
      <c r="W1" s="87"/>
    </row>
    <row r="2" spans="1:23">
      <c r="A2" s="24"/>
      <c r="B2" s="24"/>
      <c r="C2" s="3" t="s">
        <v>413</v>
      </c>
      <c r="G2" s="140"/>
      <c r="K2" s="26"/>
      <c r="L2" s="26"/>
      <c r="M2" s="26"/>
      <c r="Q2" s="5"/>
      <c r="R2" s="5"/>
      <c r="S2" s="5"/>
      <c r="T2" s="5"/>
      <c r="U2" s="5"/>
      <c r="V2" s="5"/>
    </row>
    <row r="3" spans="1:23">
      <c r="A3" s="24"/>
      <c r="B3" s="24"/>
      <c r="D3" s="72"/>
      <c r="J3" s="1073"/>
      <c r="K3" s="2034"/>
      <c r="L3" s="2034"/>
      <c r="M3" s="26"/>
      <c r="Q3" s="5"/>
      <c r="R3" s="5"/>
      <c r="S3" s="5"/>
      <c r="T3" s="5"/>
      <c r="U3" s="5"/>
      <c r="V3" s="5"/>
    </row>
    <row r="4" spans="1:23">
      <c r="A4" s="19"/>
      <c r="B4" s="19"/>
      <c r="C4" s="18"/>
      <c r="D4" s="139" t="s">
        <v>631</v>
      </c>
      <c r="E4" s="165"/>
      <c r="F4" s="149" t="str">
        <f>IF(G4="","※","")</f>
        <v>※</v>
      </c>
      <c r="G4" s="1072"/>
      <c r="K4" s="31"/>
      <c r="L4" s="26"/>
      <c r="M4" s="26"/>
      <c r="Q4" s="5"/>
      <c r="R4" s="5"/>
      <c r="S4" s="5"/>
      <c r="T4" s="5"/>
      <c r="U4" s="5"/>
      <c r="V4" s="5"/>
    </row>
    <row r="5" spans="1:23">
      <c r="A5" s="19"/>
      <c r="B5" s="19"/>
      <c r="C5" s="18"/>
      <c r="D5" s="139" t="s">
        <v>53</v>
      </c>
      <c r="E5" s="824"/>
      <c r="F5" s="149" t="str">
        <f>IF(G5="","※",IF(一般事項!E20="E","E",""))</f>
        <v>※</v>
      </c>
      <c r="G5" s="2152"/>
      <c r="H5" s="190" t="str">
        <f>IF(F5="E","工種ｺｰﾄﾞを確認して下さい。","")</f>
        <v/>
      </c>
      <c r="K5" s="26"/>
      <c r="L5" s="26"/>
      <c r="M5" s="26"/>
      <c r="Q5" s="5"/>
      <c r="R5" s="5"/>
      <c r="S5" s="5"/>
      <c r="T5" s="5"/>
      <c r="U5" s="5"/>
      <c r="V5" s="5"/>
    </row>
    <row r="6" spans="1:23">
      <c r="C6" s="16"/>
      <c r="D6" s="139" t="s">
        <v>54</v>
      </c>
      <c r="E6" s="825"/>
      <c r="F6" s="149" t="str">
        <f>IF(G6="","※","")</f>
        <v>※</v>
      </c>
      <c r="G6" s="206"/>
      <c r="K6" s="26"/>
      <c r="L6" s="26"/>
      <c r="M6" s="26"/>
      <c r="O6" s="90"/>
      <c r="R6" s="5"/>
      <c r="S6" s="5"/>
      <c r="T6" s="5"/>
      <c r="U6" s="5"/>
      <c r="V6" s="5"/>
    </row>
    <row r="7" spans="1:23" ht="13.5" customHeight="1">
      <c r="C7" s="135"/>
      <c r="D7" s="137" t="s">
        <v>492</v>
      </c>
      <c r="E7" s="166"/>
      <c r="F7" s="153" t="str">
        <f>IF(G7="","※","")</f>
        <v>※</v>
      </c>
      <c r="G7" s="141"/>
      <c r="K7" s="26"/>
      <c r="N7" s="678"/>
      <c r="Q7" s="5"/>
      <c r="R7" s="5"/>
      <c r="S7" s="5"/>
      <c r="T7" s="5"/>
      <c r="U7" s="5"/>
      <c r="V7" s="5"/>
    </row>
    <row r="8" spans="1:23" ht="12" customHeight="1">
      <c r="C8" s="136"/>
      <c r="D8" s="138" t="s">
        <v>493</v>
      </c>
      <c r="E8" s="167"/>
      <c r="F8" s="154" t="str">
        <f>IF(G8="","※","")</f>
        <v>※</v>
      </c>
      <c r="G8" s="142"/>
      <c r="K8" s="26"/>
      <c r="Q8" s="5"/>
      <c r="R8" s="5"/>
      <c r="S8" s="5"/>
      <c r="T8" s="5"/>
      <c r="U8" s="5"/>
      <c r="V8" s="5"/>
    </row>
    <row r="9" spans="1:23">
      <c r="C9" s="11"/>
      <c r="D9" s="558" t="s">
        <v>669</v>
      </c>
      <c r="E9" s="166"/>
      <c r="F9" s="153" t="str">
        <f>IF(G9="","※","")</f>
        <v>※</v>
      </c>
      <c r="G9" s="550"/>
      <c r="H9" s="74" t="s">
        <v>517</v>
      </c>
      <c r="N9" s="22"/>
      <c r="Q9" s="5"/>
      <c r="R9" s="5"/>
      <c r="S9" s="5"/>
      <c r="T9" s="5"/>
      <c r="U9" s="5"/>
      <c r="V9" s="5"/>
    </row>
    <row r="10" spans="1:23" ht="13.5" customHeight="1">
      <c r="C10" s="2133"/>
      <c r="D10" s="771" t="s">
        <v>420</v>
      </c>
      <c r="E10" s="2135"/>
      <c r="F10" s="560" t="str">
        <f>IF(G10="","※","")</f>
        <v>※</v>
      </c>
      <c r="G10" s="551"/>
      <c r="H10" s="74" t="s">
        <v>517</v>
      </c>
      <c r="N10" s="22"/>
      <c r="Q10" s="5"/>
      <c r="R10" s="5"/>
      <c r="S10" s="5"/>
      <c r="T10" s="5"/>
      <c r="U10" s="5"/>
      <c r="V10" s="5"/>
    </row>
    <row r="11" spans="1:23" ht="27" customHeight="1">
      <c r="C11" s="2134"/>
      <c r="D11" s="2136" t="s">
        <v>5638</v>
      </c>
      <c r="E11" s="167"/>
      <c r="F11" s="154"/>
      <c r="G11" s="2137" t="str">
        <f>IF(G9="","",ROUND(G9*J11/(1+J11),0))</f>
        <v/>
      </c>
      <c r="H11" s="74" t="s">
        <v>517</v>
      </c>
      <c r="J11" s="2138">
        <v>0.1</v>
      </c>
      <c r="N11" s="22"/>
      <c r="Q11" s="5"/>
      <c r="R11" s="5"/>
      <c r="S11" s="5"/>
      <c r="T11" s="5"/>
      <c r="U11" s="5"/>
      <c r="V11" s="5"/>
    </row>
    <row r="12" spans="1:23">
      <c r="C12" s="86"/>
      <c r="D12" s="217"/>
      <c r="N12" s="22"/>
      <c r="Q12" s="5"/>
      <c r="R12" s="5"/>
      <c r="S12" s="5"/>
      <c r="T12" s="5"/>
      <c r="U12" s="5"/>
      <c r="V12" s="5"/>
    </row>
    <row r="13" spans="1:23">
      <c r="C13" s="510" t="s">
        <v>871</v>
      </c>
      <c r="D13" s="511"/>
      <c r="E13" s="512"/>
      <c r="F13" s="153" t="str">
        <f>IF(G13="","※","")</f>
        <v>※</v>
      </c>
      <c r="G13" s="540"/>
      <c r="H13" s="513"/>
      <c r="J13" s="584"/>
      <c r="N13" s="22"/>
      <c r="Q13" s="5"/>
      <c r="R13" s="5"/>
      <c r="S13" s="5"/>
      <c r="T13" s="5"/>
      <c r="U13" s="5"/>
      <c r="V13" s="5"/>
    </row>
    <row r="14" spans="1:23">
      <c r="C14" s="514"/>
      <c r="D14" s="515" t="s">
        <v>872</v>
      </c>
      <c r="E14" s="516"/>
      <c r="F14" s="170" t="str">
        <f>IF(G13="","",IF(AND(OR(G13="その他",G13="その他工事"),G14=""),"※",""))</f>
        <v/>
      </c>
      <c r="G14" s="541"/>
      <c r="H14" s="513"/>
      <c r="I14" s="504" t="str">
        <f>IF(F14="※","具体的な工事種別を入力して下さい","")</f>
        <v/>
      </c>
      <c r="J14" s="826"/>
      <c r="N14" s="22"/>
      <c r="O14" s="90"/>
      <c r="R14" s="5"/>
      <c r="S14" s="5"/>
      <c r="T14" s="5"/>
      <c r="U14" s="5"/>
      <c r="V14" s="5"/>
    </row>
    <row r="15" spans="1:23" ht="13.5" customHeight="1">
      <c r="C15" s="517" t="s">
        <v>58</v>
      </c>
      <c r="D15" s="518"/>
      <c r="E15" s="519"/>
      <c r="F15" s="153" t="str">
        <f>IF(G15="","※","")</f>
        <v>※</v>
      </c>
      <c r="G15" s="550"/>
      <c r="H15" s="74" t="s">
        <v>298</v>
      </c>
      <c r="J15" s="806"/>
      <c r="K15" s="85"/>
      <c r="L15" s="85"/>
      <c r="M15" s="85"/>
      <c r="N15" s="92"/>
      <c r="O15" s="5"/>
      <c r="P15" s="5"/>
      <c r="Q15" s="5"/>
      <c r="R15" s="5"/>
      <c r="S15" s="5"/>
      <c r="T15" s="5"/>
      <c r="U15" s="5"/>
      <c r="V15" s="5"/>
    </row>
    <row r="16" spans="1:23">
      <c r="C16" s="559"/>
      <c r="D16" s="530" t="s">
        <v>420</v>
      </c>
      <c r="E16" s="531"/>
      <c r="F16" s="560" t="str">
        <f>IF(G16="","※","")</f>
        <v>※</v>
      </c>
      <c r="G16" s="551"/>
      <c r="H16" s="74" t="s">
        <v>299</v>
      </c>
      <c r="J16" s="806"/>
      <c r="N16" s="22"/>
      <c r="O16" s="5"/>
      <c r="P16" s="5"/>
      <c r="Q16" s="5"/>
      <c r="R16" s="5"/>
      <c r="S16" s="5"/>
      <c r="T16" s="5"/>
      <c r="U16" s="5"/>
      <c r="V16" s="5"/>
    </row>
    <row r="17" spans="3:22" ht="30" customHeight="1">
      <c r="C17" s="2256" t="s">
        <v>59</v>
      </c>
      <c r="D17" s="2257"/>
      <c r="E17" s="2258"/>
      <c r="F17" s="149"/>
      <c r="G17" s="561" t="str">
        <f>IF(G16="","",G15-G16)</f>
        <v/>
      </c>
      <c r="H17" s="74" t="s">
        <v>299</v>
      </c>
      <c r="J17" s="97"/>
      <c r="N17" s="22"/>
      <c r="O17" s="5"/>
      <c r="P17" s="5"/>
      <c r="Q17" s="5"/>
      <c r="R17" s="5"/>
      <c r="S17" s="5"/>
      <c r="T17" s="5"/>
      <c r="U17" s="5"/>
      <c r="V17" s="5"/>
    </row>
    <row r="18" spans="3:22">
      <c r="C18" s="523" t="s">
        <v>873</v>
      </c>
      <c r="D18" s="524"/>
      <c r="E18" s="525"/>
      <c r="F18" s="149" t="str">
        <f>IF(G18="","※","")</f>
        <v>※</v>
      </c>
      <c r="G18" s="557"/>
      <c r="H18" s="74" t="s">
        <v>298</v>
      </c>
      <c r="N18" s="22"/>
      <c r="O18" s="5"/>
      <c r="P18" s="5"/>
      <c r="Q18" s="5"/>
      <c r="R18" s="5"/>
      <c r="S18" s="5"/>
      <c r="T18" s="5"/>
      <c r="U18" s="5"/>
      <c r="V18" s="5"/>
    </row>
    <row r="19" spans="3:22" ht="30" customHeight="1">
      <c r="C19" s="2256" t="s">
        <v>213</v>
      </c>
      <c r="D19" s="2257"/>
      <c r="E19" s="2258"/>
      <c r="F19" s="149"/>
      <c r="G19" s="553" t="str">
        <f>IF(G18="","",((G15-G16)/G18)*100)</f>
        <v/>
      </c>
      <c r="H19" s="49" t="s">
        <v>874</v>
      </c>
      <c r="N19" s="22"/>
      <c r="O19" s="5"/>
      <c r="P19" s="5"/>
      <c r="Q19" s="5"/>
      <c r="R19" s="5"/>
      <c r="S19" s="5"/>
      <c r="T19" s="5"/>
      <c r="U19" s="5"/>
      <c r="V19" s="5"/>
    </row>
    <row r="20" spans="3:22">
      <c r="C20" s="905" t="s">
        <v>824</v>
      </c>
      <c r="D20" s="527"/>
      <c r="E20" s="528"/>
      <c r="F20" s="149" t="str">
        <f>IF(G20="","※","")</f>
        <v>※</v>
      </c>
      <c r="G20" s="207"/>
      <c r="H20" s="49"/>
      <c r="V20" s="5"/>
    </row>
    <row r="21" spans="3:22">
      <c r="C21" s="526" t="s">
        <v>875</v>
      </c>
      <c r="D21" s="527"/>
      <c r="E21" s="1836" t="s">
        <v>2258</v>
      </c>
      <c r="F21" s="506" t="str">
        <f>IF(G21="","※",IF(G24="","",IF(J21&gt;J24,"E","")))</f>
        <v>※</v>
      </c>
      <c r="G21" s="700"/>
      <c r="H21" s="375" t="s">
        <v>876</v>
      </c>
      <c r="I21" s="509" t="str">
        <f>IF(F21="E","年の大小を確認して下さい","")</f>
        <v/>
      </c>
      <c r="J21" s="5" t="e">
        <f>VLOOKUP(G21,Table!$A$792:$B$801,2,0)</f>
        <v>#N/A</v>
      </c>
      <c r="K21" s="1009" t="str">
        <f>IF(OR(G21="",G22="",G23="")=TRUE,"",DATE(J21,G22,G23))</f>
        <v/>
      </c>
      <c r="V21" s="5"/>
    </row>
    <row r="22" spans="3:22">
      <c r="C22" s="529"/>
      <c r="D22" s="530"/>
      <c r="E22" s="531"/>
      <c r="F22" s="507" t="str">
        <f>IF(G22="","※",IF(G25="","",IF(AND(J21=J24,G22&gt;G25)=TRUE,"E","")))</f>
        <v>※</v>
      </c>
      <c r="G22" s="554"/>
      <c r="H22" s="375" t="s">
        <v>877</v>
      </c>
      <c r="I22" s="509" t="str">
        <f>IF(F22="E","月の大小を確認して下さい","")</f>
        <v/>
      </c>
      <c r="K22" s="1010" t="str">
        <f>IF(K21="","E",IF(DAY(K21)=G23,"","E"))</f>
        <v>E</v>
      </c>
      <c r="V22" s="5"/>
    </row>
    <row r="23" spans="3:22">
      <c r="C23" s="529"/>
      <c r="D23" s="530"/>
      <c r="E23" s="531"/>
      <c r="F23" s="508" t="str">
        <f>IF(G23="","※",IF(G26="","",IF(AND(J21=J24,G22=G25,G23&gt;=G26)=TRUE,"E",K22)))</f>
        <v>※</v>
      </c>
      <c r="G23" s="555"/>
      <c r="H23" s="375" t="s">
        <v>878</v>
      </c>
      <c r="I23" s="509" t="str">
        <f>IF(F23="E","日の大小を確認して下さい","")</f>
        <v/>
      </c>
      <c r="K23" s="1011"/>
      <c r="V23" s="5"/>
    </row>
    <row r="24" spans="3:22">
      <c r="C24" s="529"/>
      <c r="D24" s="530"/>
      <c r="E24" s="1837" t="s">
        <v>2259</v>
      </c>
      <c r="F24" s="506" t="str">
        <f>IF(G24="","※",IF(G21="","",IF(J24&lt;J21,"E","")))</f>
        <v>※</v>
      </c>
      <c r="G24" s="700"/>
      <c r="H24" s="375" t="s">
        <v>876</v>
      </c>
      <c r="I24" s="509" t="str">
        <f>IF(F24="E","年の大小を確認して下さい","")</f>
        <v/>
      </c>
      <c r="J24" s="2031" t="e">
        <f>VLOOKUP(G24,Table!$A$792:$B$801,2,0)</f>
        <v>#N/A</v>
      </c>
      <c r="K24" s="1009" t="str">
        <f>IF(OR(G24="",G25="",G26="")=TRUE,"",DATE(J24,G25,G26))</f>
        <v/>
      </c>
      <c r="V24" s="5"/>
    </row>
    <row r="25" spans="3:22">
      <c r="C25" s="529"/>
      <c r="D25" s="530"/>
      <c r="E25" s="531"/>
      <c r="F25" s="507" t="str">
        <f>IF(G25="","※",IF(AND(J24=J21,G25&lt;G22)=TRUE,"E",""))</f>
        <v>※</v>
      </c>
      <c r="G25" s="554"/>
      <c r="H25" s="375" t="s">
        <v>877</v>
      </c>
      <c r="I25" s="509" t="str">
        <f>IF(F25="E","月の大小を確認して下さい","")</f>
        <v/>
      </c>
      <c r="K25" s="1010" t="str">
        <f>IF(K24="","E",IF(DAY(K24)=G26,"","E"))</f>
        <v>E</v>
      </c>
      <c r="V25" s="5"/>
    </row>
    <row r="26" spans="3:22">
      <c r="C26" s="532"/>
      <c r="D26" s="521"/>
      <c r="E26" s="522"/>
      <c r="F26" s="508" t="str">
        <f>IF(G26="","※",IF(G23="","",IF(AND(J21=J24,G22=G25,G26&lt;=G23)=TRUE,"E",K25)))</f>
        <v>※</v>
      </c>
      <c r="G26" s="555"/>
      <c r="H26" s="375" t="s">
        <v>878</v>
      </c>
      <c r="I26" s="509" t="str">
        <f>IF(F26="E","日の大小を確認して下さい","")</f>
        <v/>
      </c>
      <c r="V26" s="5"/>
    </row>
    <row r="27" spans="3:22">
      <c r="C27" s="2032" t="s">
        <v>879</v>
      </c>
      <c r="D27" s="2033"/>
      <c r="E27" s="1836" t="s">
        <v>2259</v>
      </c>
      <c r="F27" s="506" t="str">
        <f>IF(G27="","※",IF(G21="","",IF(J27&lt;J21,"E","")))</f>
        <v>※</v>
      </c>
      <c r="G27" s="700"/>
      <c r="H27" s="375" t="s">
        <v>876</v>
      </c>
      <c r="I27" s="509" t="str">
        <f>IF(F27="E","年の大小を確認して下さい","")</f>
        <v/>
      </c>
      <c r="J27" s="2031" t="e">
        <f>VLOOKUP(G27,Table!$A$792:$B$801,2,0)</f>
        <v>#N/A</v>
      </c>
      <c r="K27" s="1471" t="str">
        <f>IF(OR(G27="",G28="",G29="")=TRUE,"",DATE(J27,G28,G29))</f>
        <v/>
      </c>
      <c r="V27" s="5"/>
    </row>
    <row r="28" spans="3:22">
      <c r="C28" s="529"/>
      <c r="D28" s="530"/>
      <c r="E28" s="531"/>
      <c r="F28" s="507" t="str">
        <f>IF(G28="","※",IF(AND(J27=J21,G28&lt;G22)=TRUE,"E",""))</f>
        <v>※</v>
      </c>
      <c r="G28" s="554"/>
      <c r="H28" s="375" t="s">
        <v>877</v>
      </c>
      <c r="I28" s="509" t="str">
        <f>IF(F28="E","月の大小を確認して下さい","")</f>
        <v/>
      </c>
      <c r="K28" s="1472" t="str">
        <f>IF(K27="","E",IF(DAY(K27)=G29,"","E"))</f>
        <v>E</v>
      </c>
      <c r="V28" s="5"/>
    </row>
    <row r="29" spans="3:22">
      <c r="C29" s="532"/>
      <c r="D29" s="521"/>
      <c r="E29" s="522"/>
      <c r="F29" s="508" t="str">
        <f>IF(G29="","※",IF(G23="","",IF(AND(J21=J27,G22=G28,G29&lt;G23)=TRUE,"E",K28)))</f>
        <v>※</v>
      </c>
      <c r="G29" s="556"/>
      <c r="H29" s="375" t="s">
        <v>878</v>
      </c>
      <c r="I29" s="509" t="str">
        <f>IF(F29="E","日の大小を確認して下さい","")</f>
        <v/>
      </c>
      <c r="V29" s="5"/>
    </row>
    <row r="30" spans="3:22">
      <c r="C30" s="307"/>
      <c r="D30" s="307"/>
      <c r="E30" s="533"/>
      <c r="F30" s="335"/>
      <c r="G30" s="269"/>
      <c r="H30" s="269"/>
      <c r="V30" s="5"/>
    </row>
    <row r="31" spans="3:22">
      <c r="C31" s="217"/>
      <c r="D31" s="307"/>
      <c r="E31" s="533"/>
      <c r="F31" s="335"/>
      <c r="G31" s="269"/>
      <c r="H31" s="269"/>
      <c r="V31" s="5"/>
    </row>
    <row r="32" spans="3:22" hidden="1">
      <c r="C32" s="1779" t="s">
        <v>880</v>
      </c>
      <c r="D32" s="1780"/>
      <c r="E32" s="1781"/>
      <c r="F32" s="1782"/>
      <c r="G32" s="1783"/>
      <c r="H32" s="513"/>
      <c r="V32" s="5"/>
    </row>
    <row r="33" spans="3:22" hidden="1">
      <c r="C33" s="1784"/>
      <c r="D33" s="1785" t="s">
        <v>872</v>
      </c>
      <c r="E33" s="1786"/>
      <c r="F33" s="1787"/>
      <c r="G33" s="1788"/>
      <c r="H33" s="513"/>
      <c r="I33" s="504" t="str">
        <f>IF(F33="※","具体的な入札契約方式を入力して下さい","")</f>
        <v/>
      </c>
      <c r="V33" s="5"/>
    </row>
    <row r="34" spans="3:22" hidden="1">
      <c r="C34" s="1789" t="s">
        <v>477</v>
      </c>
      <c r="D34" s="1790"/>
      <c r="E34" s="1791"/>
      <c r="F34" s="1792"/>
      <c r="G34" s="1793"/>
      <c r="H34" s="513"/>
      <c r="V34" s="5"/>
    </row>
    <row r="35" spans="3:22" hidden="1">
      <c r="C35" s="1794"/>
      <c r="D35" s="1795" t="s">
        <v>872</v>
      </c>
      <c r="E35" s="1796"/>
      <c r="F35" s="1787"/>
      <c r="G35" s="1788"/>
      <c r="H35" s="513"/>
      <c r="I35" s="504" t="str">
        <f>IF(F35="※","具体的な評価方法を入力して下さい","")</f>
        <v/>
      </c>
      <c r="V35" s="5"/>
    </row>
    <row r="36" spans="3:22" hidden="1">
      <c r="C36" s="1797" t="s">
        <v>881</v>
      </c>
      <c r="D36" s="1021"/>
      <c r="E36" s="1798"/>
      <c r="F36" s="1799"/>
      <c r="G36" s="1800"/>
      <c r="H36" s="513"/>
      <c r="V36" s="5"/>
    </row>
    <row r="37" spans="3:22" hidden="1">
      <c r="C37" s="517" t="s">
        <v>882</v>
      </c>
      <c r="D37" s="518"/>
      <c r="E37" s="519"/>
      <c r="F37" s="153"/>
      <c r="G37" s="540"/>
      <c r="H37" s="49"/>
      <c r="V37" s="5"/>
    </row>
    <row r="38" spans="3:22" hidden="1">
      <c r="C38" s="520"/>
      <c r="D38" s="521" t="s">
        <v>872</v>
      </c>
      <c r="E38" s="531"/>
      <c r="F38" s="170"/>
      <c r="G38" s="541"/>
      <c r="H38" s="49"/>
      <c r="I38" s="504" t="str">
        <f>IF(F38="※","具体的な工事難易度を入力して下さい","")</f>
        <v/>
      </c>
      <c r="V38" s="5"/>
    </row>
    <row r="39" spans="3:22" hidden="1">
      <c r="C39" s="536" t="s">
        <v>662</v>
      </c>
      <c r="D39" s="534"/>
      <c r="E39" s="535"/>
      <c r="F39" s="153"/>
      <c r="G39" s="700"/>
      <c r="H39" s="49" t="s">
        <v>663</v>
      </c>
      <c r="V39" s="5"/>
    </row>
    <row r="40" spans="3:22" hidden="1">
      <c r="C40" s="532" t="s">
        <v>664</v>
      </c>
      <c r="D40" s="521"/>
      <c r="E40" s="522"/>
      <c r="F40" s="935"/>
      <c r="G40" s="555"/>
      <c r="H40" s="49" t="s">
        <v>663</v>
      </c>
      <c r="V40" s="5"/>
    </row>
    <row r="41" spans="3:22" hidden="1">
      <c r="C41" s="526" t="s">
        <v>665</v>
      </c>
      <c r="D41" s="527"/>
      <c r="E41" s="537" t="s">
        <v>666</v>
      </c>
      <c r="F41" s="153"/>
      <c r="G41" s="552"/>
      <c r="H41" s="49" t="s">
        <v>667</v>
      </c>
      <c r="V41" s="5"/>
    </row>
    <row r="42" spans="3:22" hidden="1">
      <c r="C42" s="529"/>
      <c r="D42" s="530"/>
      <c r="E42" s="538" t="s">
        <v>668</v>
      </c>
      <c r="F42" s="936"/>
      <c r="G42" s="554"/>
      <c r="H42" s="49" t="s">
        <v>667</v>
      </c>
      <c r="V42" s="5"/>
    </row>
    <row r="43" spans="3:22" hidden="1">
      <c r="C43" s="532"/>
      <c r="D43" s="521"/>
      <c r="E43" s="539" t="s">
        <v>799</v>
      </c>
      <c r="F43" s="154"/>
      <c r="G43" s="556"/>
      <c r="H43" s="49" t="s">
        <v>667</v>
      </c>
      <c r="V43" s="5"/>
    </row>
    <row r="44" spans="3:22" hidden="1">
      <c r="V44" s="5"/>
    </row>
    <row r="45" spans="3:22" hidden="1">
      <c r="C45" s="1777" t="s">
        <v>2062</v>
      </c>
      <c r="D45" s="751"/>
      <c r="E45" s="752"/>
      <c r="F45" s="753"/>
      <c r="G45" s="795"/>
      <c r="V45" s="5"/>
    </row>
    <row r="46" spans="3:22" hidden="1">
      <c r="V46" s="5"/>
    </row>
    <row r="47" spans="3:22" hidden="1">
      <c r="C47" s="750" t="s">
        <v>773</v>
      </c>
      <c r="D47" s="751"/>
      <c r="E47" s="752"/>
      <c r="F47" s="753"/>
      <c r="G47" s="795"/>
      <c r="K47" s="1027" t="s">
        <v>1118</v>
      </c>
      <c r="L47" s="1027" t="s">
        <v>1119</v>
      </c>
      <c r="V47" s="5"/>
    </row>
    <row r="48" spans="3:22" hidden="1">
      <c r="C48" s="750" t="s">
        <v>774</v>
      </c>
      <c r="D48" s="751"/>
      <c r="E48" s="752"/>
      <c r="F48" s="149"/>
      <c r="G48" s="795"/>
      <c r="K48" s="1025" t="str">
        <f>IF(OR($G$48="単品スライド",$G$48="単品スライド・全体スライド併用",$G$48="単品スライド・インフレスライド併用"),"単品","")</f>
        <v/>
      </c>
      <c r="L48" s="1026" t="str">
        <f>IF(OR($G$48="全体スライド",$G$48="インフレスライド",$G$48="単品スライド・全体スライド併用",$G$48="単品スライド・インフレスライド併用"),"全体","")</f>
        <v/>
      </c>
      <c r="V48" s="5"/>
    </row>
    <row r="49" spans="3:22" hidden="1">
      <c r="C49" s="2259" t="s">
        <v>339</v>
      </c>
      <c r="D49" s="2260"/>
      <c r="E49" s="785" t="s">
        <v>336</v>
      </c>
      <c r="F49" s="153"/>
      <c r="G49" s="796"/>
      <c r="H49" s="5" t="s">
        <v>663</v>
      </c>
      <c r="V49" s="5"/>
    </row>
    <row r="50" spans="3:22" hidden="1">
      <c r="C50" s="2261"/>
      <c r="D50" s="2262"/>
      <c r="E50" s="786" t="s">
        <v>338</v>
      </c>
      <c r="F50" s="154"/>
      <c r="G50" s="797"/>
      <c r="H50" s="5" t="s">
        <v>663</v>
      </c>
      <c r="V50" s="5"/>
    </row>
    <row r="51" spans="3:22" hidden="1">
      <c r="C51" s="2250" t="s">
        <v>154</v>
      </c>
      <c r="D51" s="2251"/>
      <c r="E51" s="782">
        <v>1</v>
      </c>
      <c r="F51" s="781"/>
      <c r="G51" s="798"/>
      <c r="V51" s="5"/>
    </row>
    <row r="52" spans="3:22" hidden="1">
      <c r="C52" s="2254"/>
      <c r="D52" s="2255"/>
      <c r="E52" s="783">
        <v>2</v>
      </c>
      <c r="F52" s="749"/>
      <c r="G52" s="802"/>
      <c r="V52" s="5"/>
    </row>
    <row r="53" spans="3:22" hidden="1">
      <c r="C53" s="2250" t="s">
        <v>781</v>
      </c>
      <c r="D53" s="2251"/>
      <c r="E53" s="782">
        <v>1</v>
      </c>
      <c r="F53" s="761"/>
      <c r="G53" s="799"/>
      <c r="V53" s="5"/>
    </row>
    <row r="54" spans="3:22" hidden="1">
      <c r="C54" s="2252"/>
      <c r="D54" s="2253"/>
      <c r="E54" s="784">
        <v>2</v>
      </c>
      <c r="F54" s="761"/>
      <c r="G54" s="800"/>
      <c r="V54" s="5"/>
    </row>
    <row r="55" spans="3:22" hidden="1">
      <c r="C55" s="2252"/>
      <c r="D55" s="2253"/>
      <c r="E55" s="784">
        <v>3</v>
      </c>
      <c r="F55" s="761"/>
      <c r="G55" s="800"/>
      <c r="V55" s="5"/>
    </row>
    <row r="56" spans="3:22" hidden="1">
      <c r="C56" s="2254"/>
      <c r="D56" s="2255"/>
      <c r="E56" s="783">
        <v>4</v>
      </c>
      <c r="F56" s="779"/>
      <c r="G56" s="801"/>
      <c r="V56" s="5"/>
    </row>
    <row r="57" spans="3:22" hidden="1">
      <c r="C57" s="581"/>
      <c r="D57" s="581"/>
      <c r="E57" s="780"/>
      <c r="F57" s="455"/>
      <c r="G57" s="581"/>
      <c r="V57" s="5"/>
    </row>
    <row r="58" spans="3:22">
      <c r="C58" s="437" t="s">
        <v>685</v>
      </c>
      <c r="D58" s="438"/>
      <c r="E58" s="439"/>
      <c r="F58" s="204"/>
      <c r="G58" s="440"/>
      <c r="V58" s="5"/>
    </row>
    <row r="59" spans="3:22">
      <c r="C59" s="441" t="s">
        <v>686</v>
      </c>
      <c r="D59" s="442"/>
      <c r="E59" s="443"/>
      <c r="F59" s="205"/>
      <c r="G59" s="444"/>
      <c r="V59" s="5"/>
    </row>
    <row r="60" spans="3:22">
      <c r="C60" s="441" t="s">
        <v>687</v>
      </c>
      <c r="D60" s="443"/>
      <c r="E60" s="445"/>
      <c r="F60" s="446"/>
      <c r="G60" s="447"/>
      <c r="V60" s="5"/>
    </row>
    <row r="61" spans="3:22">
      <c r="C61" s="441" t="s">
        <v>688</v>
      </c>
      <c r="D61" s="448"/>
      <c r="E61" s="448"/>
      <c r="F61" s="449"/>
      <c r="G61" s="450"/>
      <c r="V61" s="5"/>
    </row>
    <row r="62" spans="3:22">
      <c r="C62" s="451" t="s">
        <v>689</v>
      </c>
      <c r="D62" s="452"/>
      <c r="E62" s="453"/>
      <c r="F62" s="203"/>
      <c r="G62" s="454"/>
      <c r="V62" s="5"/>
    </row>
    <row r="63" spans="3:22">
      <c r="V63" s="5"/>
    </row>
    <row r="64" spans="3:22">
      <c r="V64" s="5"/>
    </row>
    <row r="65" spans="22:22">
      <c r="V65" s="5"/>
    </row>
    <row r="66" spans="22:22">
      <c r="V66" s="5"/>
    </row>
    <row r="67" spans="22:22">
      <c r="V67" s="5"/>
    </row>
    <row r="68" spans="22:22">
      <c r="V68" s="5"/>
    </row>
    <row r="69" spans="22:22">
      <c r="V69" s="5"/>
    </row>
    <row r="70" spans="22:22">
      <c r="V70" s="5"/>
    </row>
    <row r="71" spans="22:22">
      <c r="V71" s="5"/>
    </row>
    <row r="72" spans="22:22">
      <c r="V72" s="5"/>
    </row>
    <row r="73" spans="22:22">
      <c r="V73" s="5"/>
    </row>
    <row r="74" spans="22:22">
      <c r="V74" s="5"/>
    </row>
    <row r="75" spans="22:22">
      <c r="V75" s="5"/>
    </row>
    <row r="76" spans="22:22">
      <c r="V76" s="5"/>
    </row>
    <row r="77" spans="22:22">
      <c r="V77" s="5"/>
    </row>
    <row r="78" spans="22:22">
      <c r="V78" s="5"/>
    </row>
    <row r="79" spans="22:22">
      <c r="V79" s="5"/>
    </row>
    <row r="80" spans="22:22">
      <c r="V80" s="5"/>
    </row>
    <row r="81" spans="5:22">
      <c r="V81" s="5"/>
    </row>
    <row r="82" spans="5:22">
      <c r="V82" s="5"/>
    </row>
    <row r="83" spans="5:22">
      <c r="E83" s="74"/>
      <c r="V83" s="5"/>
    </row>
    <row r="84" spans="5:22">
      <c r="V84" s="5"/>
    </row>
    <row r="85" spans="5:22">
      <c r="V85" s="5"/>
    </row>
    <row r="86" spans="5:22">
      <c r="G86" s="201"/>
      <c r="V86" s="5"/>
    </row>
    <row r="87" spans="5:22">
      <c r="V87" s="5"/>
    </row>
    <row r="88" spans="5:22">
      <c r="V88" s="5"/>
    </row>
    <row r="89" spans="5:22">
      <c r="V89" s="5"/>
    </row>
    <row r="90" spans="5:22">
      <c r="V90" s="5"/>
    </row>
    <row r="91" spans="5:22">
      <c r="V91" s="5"/>
    </row>
    <row r="92" spans="5:22">
      <c r="V92" s="5"/>
    </row>
    <row r="93" spans="5:22">
      <c r="V93" s="5"/>
    </row>
    <row r="94" spans="5:22">
      <c r="V94" s="5"/>
    </row>
  </sheetData>
  <sheetProtection algorithmName="SHA-512" hashValue="5ZY5QLI0BuF5Pt+21RL6nfkUSIb3lgJvzdWAnflG8LWiKguGEwXhnj7tYrbDXARFUrpvgKeQd0al7Teey2iTCQ==" saltValue="JbZHG8rp7Z3CPEuw4gGncg==" spinCount="100000" sheet="1" objects="1" scenarios="1"/>
  <mergeCells count="5">
    <mergeCell ref="C53:D56"/>
    <mergeCell ref="C51:D52"/>
    <mergeCell ref="C17:E17"/>
    <mergeCell ref="C19:E19"/>
    <mergeCell ref="C49:D50"/>
  </mergeCells>
  <phoneticPr fontId="5"/>
  <dataValidations xWindow="576" yWindow="189" count="18">
    <dataValidation type="list" allowBlank="1" showInputMessage="1" showErrorMessage="1" sqref="G47" xr:uid="{00000000-0002-0000-0100-000000000000}">
      <formula1>スライドの有無</formula1>
    </dataValidation>
    <dataValidation type="list" allowBlank="1" showInputMessage="1" showErrorMessage="1" sqref="G48" xr:uid="{00000000-0002-0000-0100-000001000000}">
      <formula1>スライドの種類</formula1>
    </dataValidation>
    <dataValidation type="custom" allowBlank="1" showInputMessage="1" showErrorMessage="1" sqref="G7:G8 G4" xr:uid="{00000000-0002-0000-0100-000002000000}">
      <formula1>TRIM(G4)&lt;&gt;""</formula1>
    </dataValidation>
    <dataValidation allowBlank="1" showInputMessage="1" showErrorMessage="1" sqref="G19 G17" xr:uid="{00000000-0002-0000-0100-000003000000}"/>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4000000}">
      <formula1>1</formula1>
      <formula2>9999999999</formula2>
    </dataValidation>
    <dataValidation type="whole" allowBlank="1" showInputMessage="1" showErrorMessage="1" sqref="G10 G15:G16 G18" xr:uid="{00000000-0002-0000-0100-000005000000}">
      <formula1>1</formula1>
      <formula2>9999999999</formula2>
    </dataValidation>
    <dataValidation type="list" allowBlank="1" showInputMessage="1" showErrorMessage="1" sqref="G13" xr:uid="{00000000-0002-0000-0100-000006000000}">
      <formula1>工事種別</formula1>
    </dataValidation>
    <dataValidation type="list" allowBlank="1" showInputMessage="1" showErrorMessage="1" sqref="G37" xr:uid="{00000000-0002-0000-0100-000007000000}">
      <formula1>難易度</formula1>
    </dataValidation>
    <dataValidation type="list" allowBlank="1" showInputMessage="1" showErrorMessage="1" sqref="G34" xr:uid="{00000000-0002-0000-0100-000008000000}">
      <formula1>一般競争入札の評価方法</formula1>
    </dataValidation>
    <dataValidation type="list" allowBlank="1" showInputMessage="1" showErrorMessage="1" sqref="G20" xr:uid="{00000000-0002-0000-0100-000009000000}">
      <formula1>一般管理費等の前払い金支出割合</formula1>
    </dataValidation>
    <dataValidation type="list" allowBlank="1" showInputMessage="1" showErrorMessage="1" sqref="G45" xr:uid="{00000000-0002-0000-0100-00000A000000}">
      <formula1>契約方式【総価契約単価合意方式の場合】</formula1>
    </dataValidation>
    <dataValidation type="list" allowBlank="1" showInputMessage="1" showErrorMessage="1" sqref="G32" xr:uid="{00000000-0002-0000-0100-00000B000000}">
      <formula1>入札契約方式</formula1>
    </dataValidation>
    <dataValidation type="list" showInputMessage="1" showErrorMessage="1" promptTitle="発注者コード" prompt="リストから選択してください。_x000a_マニュアル参照" sqref="G6" xr:uid="{00000000-0002-0000-0100-00000C000000}">
      <formula1>所管名2</formula1>
    </dataValidation>
    <dataValidation type="whole" allowBlank="1" showInputMessage="1" showErrorMessage="1" sqref="G22 G25 G28" xr:uid="{00000000-0002-0000-0100-00000D000000}">
      <formula1>1</formula1>
      <formula2>12</formula2>
    </dataValidation>
    <dataValidation type="whole" allowBlank="1" showInputMessage="1" showErrorMessage="1" sqref="G23 G26 G29" xr:uid="{00000000-0002-0000-0100-00000E000000}">
      <formula1>1</formula1>
      <formula2>31</formula2>
    </dataValidation>
    <dataValidation type="whole" operator="greaterThanOrEqual" allowBlank="1" showInputMessage="1" showErrorMessage="1" sqref="G39:G40 G49:G50" xr:uid="{00000000-0002-0000-0100-00000F000000}">
      <formula1>0</formula1>
    </dataValidation>
    <dataValidation type="list" allowBlank="1" showInputMessage="1" showErrorMessage="1" sqref="G21 G24 G27" xr:uid="{496246DE-FF76-41BE-BA94-A299E70E0D84}">
      <formula1>年</formula1>
    </dataValidation>
    <dataValidation type="list" allowBlank="1" showInputMessage="1" showErrorMessage="1" sqref="G5" xr:uid="{795BDE00-BC6C-4FC4-81A5-D7C96EBFE1C2}">
      <formula1>所管名1</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pageSetUpPr fitToPage="1"/>
  </sheetPr>
  <dimension ref="A1:AL296"/>
  <sheetViews>
    <sheetView showGridLines="0" topLeftCell="G1" zoomScaleNormal="100" workbookViewId="0"/>
  </sheetViews>
  <sheetFormatPr defaultRowHeight="13.5"/>
  <cols>
    <col min="1" max="1" width="5.375" style="1151" customWidth="1"/>
    <col min="2" max="2" width="21.875" style="1034" customWidth="1"/>
    <col min="3" max="3" width="19.25" style="1034" customWidth="1"/>
    <col min="4" max="6" width="16" style="1149" customWidth="1"/>
    <col min="7" max="8" width="16" style="1034" customWidth="1"/>
    <col min="9" max="9" width="16" style="1149" customWidth="1"/>
    <col min="10" max="10" width="9" style="1065"/>
    <col min="11" max="11" width="29.875" style="1065" customWidth="1"/>
    <col min="12" max="14" width="9" style="1065" customWidth="1"/>
    <col min="15" max="15" width="9" style="1066" customWidth="1"/>
    <col min="16" max="18" width="14.25" style="1066" customWidth="1"/>
    <col min="19" max="23" width="10.625" style="1066" customWidth="1"/>
    <col min="24" max="30" width="10.625" style="1034" customWidth="1"/>
    <col min="31" max="31" width="10.625" style="1487" customWidth="1"/>
    <col min="32" max="38" width="10.625" style="1034" customWidth="1"/>
    <col min="39" max="214" width="9" style="1034"/>
    <col min="215" max="215" width="14.125" style="1034" customWidth="1"/>
    <col min="216" max="216" width="11.375" style="1034" customWidth="1"/>
    <col min="217" max="218" width="1.875" style="1034" customWidth="1"/>
    <col min="219" max="219" width="3" style="1034" bestFit="1" customWidth="1"/>
    <col min="220" max="220" width="34.5" style="1034" bestFit="1" customWidth="1"/>
    <col min="221" max="221" width="20.125" style="1034" bestFit="1" customWidth="1"/>
    <col min="222" max="232" width="14.625" style="1034" customWidth="1"/>
    <col min="233" max="233" width="10.125" style="1034" customWidth="1"/>
    <col min="234" max="234" width="5.625" style="1034" customWidth="1"/>
    <col min="235" max="235" width="19.75" style="1034" customWidth="1"/>
    <col min="236" max="236" width="5.625" style="1034" customWidth="1"/>
    <col min="237" max="259" width="10" style="1034" customWidth="1"/>
    <col min="260" max="261" width="9" style="1034"/>
    <col min="262" max="265" width="10.5" style="1034" customWidth="1"/>
    <col min="266" max="470" width="9" style="1034"/>
    <col min="471" max="471" width="14.125" style="1034" customWidth="1"/>
    <col min="472" max="472" width="11.375" style="1034" customWidth="1"/>
    <col min="473" max="474" width="1.875" style="1034" customWidth="1"/>
    <col min="475" max="475" width="3" style="1034" bestFit="1" customWidth="1"/>
    <col min="476" max="476" width="34.5" style="1034" bestFit="1" customWidth="1"/>
    <col min="477" max="477" width="20.125" style="1034" bestFit="1" customWidth="1"/>
    <col min="478" max="488" width="14.625" style="1034" customWidth="1"/>
    <col min="489" max="489" width="10.125" style="1034" customWidth="1"/>
    <col min="490" max="490" width="5.625" style="1034" customWidth="1"/>
    <col min="491" max="491" width="19.75" style="1034" customWidth="1"/>
    <col min="492" max="492" width="5.625" style="1034" customWidth="1"/>
    <col min="493" max="515" width="10" style="1034" customWidth="1"/>
    <col min="516" max="517" width="9" style="1034"/>
    <col min="518" max="521" width="10.5" style="1034" customWidth="1"/>
    <col min="522" max="726" width="9" style="1034"/>
    <col min="727" max="727" width="14.125" style="1034" customWidth="1"/>
    <col min="728" max="728" width="11.375" style="1034" customWidth="1"/>
    <col min="729" max="730" width="1.875" style="1034" customWidth="1"/>
    <col min="731" max="731" width="3" style="1034" bestFit="1" customWidth="1"/>
    <col min="732" max="732" width="34.5" style="1034" bestFit="1" customWidth="1"/>
    <col min="733" max="733" width="20.125" style="1034" bestFit="1" customWidth="1"/>
    <col min="734" max="744" width="14.625" style="1034" customWidth="1"/>
    <col min="745" max="745" width="10.125" style="1034" customWidth="1"/>
    <col min="746" max="746" width="5.625" style="1034" customWidth="1"/>
    <col min="747" max="747" width="19.75" style="1034" customWidth="1"/>
    <col min="748" max="748" width="5.625" style="1034" customWidth="1"/>
    <col min="749" max="771" width="10" style="1034" customWidth="1"/>
    <col min="772" max="773" width="9" style="1034"/>
    <col min="774" max="777" width="10.5" style="1034" customWidth="1"/>
    <col min="778" max="982" width="9" style="1034"/>
    <col min="983" max="983" width="14.125" style="1034" customWidth="1"/>
    <col min="984" max="984" width="11.375" style="1034" customWidth="1"/>
    <col min="985" max="986" width="1.875" style="1034" customWidth="1"/>
    <col min="987" max="987" width="3" style="1034" bestFit="1" customWidth="1"/>
    <col min="988" max="988" width="34.5" style="1034" bestFit="1" customWidth="1"/>
    <col min="989" max="989" width="20.125" style="1034" bestFit="1" customWidth="1"/>
    <col min="990" max="1000" width="14.625" style="1034" customWidth="1"/>
    <col min="1001" max="1001" width="10.125" style="1034" customWidth="1"/>
    <col min="1002" max="1002" width="5.625" style="1034" customWidth="1"/>
    <col min="1003" max="1003" width="19.75" style="1034" customWidth="1"/>
    <col min="1004" max="1004" width="5.625" style="1034" customWidth="1"/>
    <col min="1005" max="1027" width="10" style="1034" customWidth="1"/>
    <col min="1028" max="1029" width="9" style="1034"/>
    <col min="1030" max="1033" width="10.5" style="1034" customWidth="1"/>
    <col min="1034" max="1238" width="9" style="1034"/>
    <col min="1239" max="1239" width="14.125" style="1034" customWidth="1"/>
    <col min="1240" max="1240" width="11.375" style="1034" customWidth="1"/>
    <col min="1241" max="1242" width="1.875" style="1034" customWidth="1"/>
    <col min="1243" max="1243" width="3" style="1034" bestFit="1" customWidth="1"/>
    <col min="1244" max="1244" width="34.5" style="1034" bestFit="1" customWidth="1"/>
    <col min="1245" max="1245" width="20.125" style="1034" bestFit="1" customWidth="1"/>
    <col min="1246" max="1256" width="14.625" style="1034" customWidth="1"/>
    <col min="1257" max="1257" width="10.125" style="1034" customWidth="1"/>
    <col min="1258" max="1258" width="5.625" style="1034" customWidth="1"/>
    <col min="1259" max="1259" width="19.75" style="1034" customWidth="1"/>
    <col min="1260" max="1260" width="5.625" style="1034" customWidth="1"/>
    <col min="1261" max="1283" width="10" style="1034" customWidth="1"/>
    <col min="1284" max="1285" width="9" style="1034"/>
    <col min="1286" max="1289" width="10.5" style="1034" customWidth="1"/>
    <col min="1290" max="1494" width="9" style="1034"/>
    <col min="1495" max="1495" width="14.125" style="1034" customWidth="1"/>
    <col min="1496" max="1496" width="11.375" style="1034" customWidth="1"/>
    <col min="1497" max="1498" width="1.875" style="1034" customWidth="1"/>
    <col min="1499" max="1499" width="3" style="1034" bestFit="1" customWidth="1"/>
    <col min="1500" max="1500" width="34.5" style="1034" bestFit="1" customWidth="1"/>
    <col min="1501" max="1501" width="20.125" style="1034" bestFit="1" customWidth="1"/>
    <col min="1502" max="1512" width="14.625" style="1034" customWidth="1"/>
    <col min="1513" max="1513" width="10.125" style="1034" customWidth="1"/>
    <col min="1514" max="1514" width="5.625" style="1034" customWidth="1"/>
    <col min="1515" max="1515" width="19.75" style="1034" customWidth="1"/>
    <col min="1516" max="1516" width="5.625" style="1034" customWidth="1"/>
    <col min="1517" max="1539" width="10" style="1034" customWidth="1"/>
    <col min="1540" max="1541" width="9" style="1034"/>
    <col min="1542" max="1545" width="10.5" style="1034" customWidth="1"/>
    <col min="1546" max="1750" width="9" style="1034"/>
    <col min="1751" max="1751" width="14.125" style="1034" customWidth="1"/>
    <col min="1752" max="1752" width="11.375" style="1034" customWidth="1"/>
    <col min="1753" max="1754" width="1.875" style="1034" customWidth="1"/>
    <col min="1755" max="1755" width="3" style="1034" bestFit="1" customWidth="1"/>
    <col min="1756" max="1756" width="34.5" style="1034" bestFit="1" customWidth="1"/>
    <col min="1757" max="1757" width="20.125" style="1034" bestFit="1" customWidth="1"/>
    <col min="1758" max="1768" width="14.625" style="1034" customWidth="1"/>
    <col min="1769" max="1769" width="10.125" style="1034" customWidth="1"/>
    <col min="1770" max="1770" width="5.625" style="1034" customWidth="1"/>
    <col min="1771" max="1771" width="19.75" style="1034" customWidth="1"/>
    <col min="1772" max="1772" width="5.625" style="1034" customWidth="1"/>
    <col min="1773" max="1795" width="10" style="1034" customWidth="1"/>
    <col min="1796" max="1797" width="9" style="1034"/>
    <col min="1798" max="1801" width="10.5" style="1034" customWidth="1"/>
    <col min="1802" max="2006" width="9" style="1034"/>
    <col min="2007" max="2007" width="14.125" style="1034" customWidth="1"/>
    <col min="2008" max="2008" width="11.375" style="1034" customWidth="1"/>
    <col min="2009" max="2010" width="1.875" style="1034" customWidth="1"/>
    <col min="2011" max="2011" width="3" style="1034" bestFit="1" customWidth="1"/>
    <col min="2012" max="2012" width="34.5" style="1034" bestFit="1" customWidth="1"/>
    <col min="2013" max="2013" width="20.125" style="1034" bestFit="1" customWidth="1"/>
    <col min="2014" max="2024" width="14.625" style="1034" customWidth="1"/>
    <col min="2025" max="2025" width="10.125" style="1034" customWidth="1"/>
    <col min="2026" max="2026" width="5.625" style="1034" customWidth="1"/>
    <col min="2027" max="2027" width="19.75" style="1034" customWidth="1"/>
    <col min="2028" max="2028" width="5.625" style="1034" customWidth="1"/>
    <col min="2029" max="2051" width="10" style="1034" customWidth="1"/>
    <col min="2052" max="2053" width="9" style="1034"/>
    <col min="2054" max="2057" width="10.5" style="1034" customWidth="1"/>
    <col min="2058" max="2262" width="9" style="1034"/>
    <col min="2263" max="2263" width="14.125" style="1034" customWidth="1"/>
    <col min="2264" max="2264" width="11.375" style="1034" customWidth="1"/>
    <col min="2265" max="2266" width="1.875" style="1034" customWidth="1"/>
    <col min="2267" max="2267" width="3" style="1034" bestFit="1" customWidth="1"/>
    <col min="2268" max="2268" width="34.5" style="1034" bestFit="1" customWidth="1"/>
    <col min="2269" max="2269" width="20.125" style="1034" bestFit="1" customWidth="1"/>
    <col min="2270" max="2280" width="14.625" style="1034" customWidth="1"/>
    <col min="2281" max="2281" width="10.125" style="1034" customWidth="1"/>
    <col min="2282" max="2282" width="5.625" style="1034" customWidth="1"/>
    <col min="2283" max="2283" width="19.75" style="1034" customWidth="1"/>
    <col min="2284" max="2284" width="5.625" style="1034" customWidth="1"/>
    <col min="2285" max="2307" width="10" style="1034" customWidth="1"/>
    <col min="2308" max="2309" width="9" style="1034"/>
    <col min="2310" max="2313" width="10.5" style="1034" customWidth="1"/>
    <col min="2314" max="2518" width="9" style="1034"/>
    <col min="2519" max="2519" width="14.125" style="1034" customWidth="1"/>
    <col min="2520" max="2520" width="11.375" style="1034" customWidth="1"/>
    <col min="2521" max="2522" width="1.875" style="1034" customWidth="1"/>
    <col min="2523" max="2523" width="3" style="1034" bestFit="1" customWidth="1"/>
    <col min="2524" max="2524" width="34.5" style="1034" bestFit="1" customWidth="1"/>
    <col min="2525" max="2525" width="20.125" style="1034" bestFit="1" customWidth="1"/>
    <col min="2526" max="2536" width="14.625" style="1034" customWidth="1"/>
    <col min="2537" max="2537" width="10.125" style="1034" customWidth="1"/>
    <col min="2538" max="2538" width="5.625" style="1034" customWidth="1"/>
    <col min="2539" max="2539" width="19.75" style="1034" customWidth="1"/>
    <col min="2540" max="2540" width="5.625" style="1034" customWidth="1"/>
    <col min="2541" max="2563" width="10" style="1034" customWidth="1"/>
    <col min="2564" max="2565" width="9" style="1034"/>
    <col min="2566" max="2569" width="10.5" style="1034" customWidth="1"/>
    <col min="2570" max="2774" width="9" style="1034"/>
    <col min="2775" max="2775" width="14.125" style="1034" customWidth="1"/>
    <col min="2776" max="2776" width="11.375" style="1034" customWidth="1"/>
    <col min="2777" max="2778" width="1.875" style="1034" customWidth="1"/>
    <col min="2779" max="2779" width="3" style="1034" bestFit="1" customWidth="1"/>
    <col min="2780" max="2780" width="34.5" style="1034" bestFit="1" customWidth="1"/>
    <col min="2781" max="2781" width="20.125" style="1034" bestFit="1" customWidth="1"/>
    <col min="2782" max="2792" width="14.625" style="1034" customWidth="1"/>
    <col min="2793" max="2793" width="10.125" style="1034" customWidth="1"/>
    <col min="2794" max="2794" width="5.625" style="1034" customWidth="1"/>
    <col min="2795" max="2795" width="19.75" style="1034" customWidth="1"/>
    <col min="2796" max="2796" width="5.625" style="1034" customWidth="1"/>
    <col min="2797" max="2819" width="10" style="1034" customWidth="1"/>
    <col min="2820" max="2821" width="9" style="1034"/>
    <col min="2822" max="2825" width="10.5" style="1034" customWidth="1"/>
    <col min="2826" max="3030" width="9" style="1034"/>
    <col min="3031" max="3031" width="14.125" style="1034" customWidth="1"/>
    <col min="3032" max="3032" width="11.375" style="1034" customWidth="1"/>
    <col min="3033" max="3034" width="1.875" style="1034" customWidth="1"/>
    <col min="3035" max="3035" width="3" style="1034" bestFit="1" customWidth="1"/>
    <col min="3036" max="3036" width="34.5" style="1034" bestFit="1" customWidth="1"/>
    <col min="3037" max="3037" width="20.125" style="1034" bestFit="1" customWidth="1"/>
    <col min="3038" max="3048" width="14.625" style="1034" customWidth="1"/>
    <col min="3049" max="3049" width="10.125" style="1034" customWidth="1"/>
    <col min="3050" max="3050" width="5.625" style="1034" customWidth="1"/>
    <col min="3051" max="3051" width="19.75" style="1034" customWidth="1"/>
    <col min="3052" max="3052" width="5.625" style="1034" customWidth="1"/>
    <col min="3053" max="3075" width="10" style="1034" customWidth="1"/>
    <col min="3076" max="3077" width="9" style="1034"/>
    <col min="3078" max="3081" width="10.5" style="1034" customWidth="1"/>
    <col min="3082" max="3286" width="9" style="1034"/>
    <col min="3287" max="3287" width="14.125" style="1034" customWidth="1"/>
    <col min="3288" max="3288" width="11.375" style="1034" customWidth="1"/>
    <col min="3289" max="3290" width="1.875" style="1034" customWidth="1"/>
    <col min="3291" max="3291" width="3" style="1034" bestFit="1" customWidth="1"/>
    <col min="3292" max="3292" width="34.5" style="1034" bestFit="1" customWidth="1"/>
    <col min="3293" max="3293" width="20.125" style="1034" bestFit="1" customWidth="1"/>
    <col min="3294" max="3304" width="14.625" style="1034" customWidth="1"/>
    <col min="3305" max="3305" width="10.125" style="1034" customWidth="1"/>
    <col min="3306" max="3306" width="5.625" style="1034" customWidth="1"/>
    <col min="3307" max="3307" width="19.75" style="1034" customWidth="1"/>
    <col min="3308" max="3308" width="5.625" style="1034" customWidth="1"/>
    <col min="3309" max="3331" width="10" style="1034" customWidth="1"/>
    <col min="3332" max="3333" width="9" style="1034"/>
    <col min="3334" max="3337" width="10.5" style="1034" customWidth="1"/>
    <col min="3338" max="3542" width="9" style="1034"/>
    <col min="3543" max="3543" width="14.125" style="1034" customWidth="1"/>
    <col min="3544" max="3544" width="11.375" style="1034" customWidth="1"/>
    <col min="3545" max="3546" width="1.875" style="1034" customWidth="1"/>
    <col min="3547" max="3547" width="3" style="1034" bestFit="1" customWidth="1"/>
    <col min="3548" max="3548" width="34.5" style="1034" bestFit="1" customWidth="1"/>
    <col min="3549" max="3549" width="20.125" style="1034" bestFit="1" customWidth="1"/>
    <col min="3550" max="3560" width="14.625" style="1034" customWidth="1"/>
    <col min="3561" max="3561" width="10.125" style="1034" customWidth="1"/>
    <col min="3562" max="3562" width="5.625" style="1034" customWidth="1"/>
    <col min="3563" max="3563" width="19.75" style="1034" customWidth="1"/>
    <col min="3564" max="3564" width="5.625" style="1034" customWidth="1"/>
    <col min="3565" max="3587" width="10" style="1034" customWidth="1"/>
    <col min="3588" max="3589" width="9" style="1034"/>
    <col min="3590" max="3593" width="10.5" style="1034" customWidth="1"/>
    <col min="3594" max="3798" width="9" style="1034"/>
    <col min="3799" max="3799" width="14.125" style="1034" customWidth="1"/>
    <col min="3800" max="3800" width="11.375" style="1034" customWidth="1"/>
    <col min="3801" max="3802" width="1.875" style="1034" customWidth="1"/>
    <col min="3803" max="3803" width="3" style="1034" bestFit="1" customWidth="1"/>
    <col min="3804" max="3804" width="34.5" style="1034" bestFit="1" customWidth="1"/>
    <col min="3805" max="3805" width="20.125" style="1034" bestFit="1" customWidth="1"/>
    <col min="3806" max="3816" width="14.625" style="1034" customWidth="1"/>
    <col min="3817" max="3817" width="10.125" style="1034" customWidth="1"/>
    <col min="3818" max="3818" width="5.625" style="1034" customWidth="1"/>
    <col min="3819" max="3819" width="19.75" style="1034" customWidth="1"/>
    <col min="3820" max="3820" width="5.625" style="1034" customWidth="1"/>
    <col min="3821" max="3843" width="10" style="1034" customWidth="1"/>
    <col min="3844" max="3845" width="9" style="1034"/>
    <col min="3846" max="3849" width="10.5" style="1034" customWidth="1"/>
    <col min="3850" max="4054" width="9" style="1034"/>
    <col min="4055" max="4055" width="14.125" style="1034" customWidth="1"/>
    <col min="4056" max="4056" width="11.375" style="1034" customWidth="1"/>
    <col min="4057" max="4058" width="1.875" style="1034" customWidth="1"/>
    <col min="4059" max="4059" width="3" style="1034" bestFit="1" customWidth="1"/>
    <col min="4060" max="4060" width="34.5" style="1034" bestFit="1" customWidth="1"/>
    <col min="4061" max="4061" width="20.125" style="1034" bestFit="1" customWidth="1"/>
    <col min="4062" max="4072" width="14.625" style="1034" customWidth="1"/>
    <col min="4073" max="4073" width="10.125" style="1034" customWidth="1"/>
    <col min="4074" max="4074" width="5.625" style="1034" customWidth="1"/>
    <col min="4075" max="4075" width="19.75" style="1034" customWidth="1"/>
    <col min="4076" max="4076" width="5.625" style="1034" customWidth="1"/>
    <col min="4077" max="4099" width="10" style="1034" customWidth="1"/>
    <col min="4100" max="4101" width="9" style="1034"/>
    <col min="4102" max="4105" width="10.5" style="1034" customWidth="1"/>
    <col min="4106" max="4310" width="9" style="1034"/>
    <col min="4311" max="4311" width="14.125" style="1034" customWidth="1"/>
    <col min="4312" max="4312" width="11.375" style="1034" customWidth="1"/>
    <col min="4313" max="4314" width="1.875" style="1034" customWidth="1"/>
    <col min="4315" max="4315" width="3" style="1034" bestFit="1" customWidth="1"/>
    <col min="4316" max="4316" width="34.5" style="1034" bestFit="1" customWidth="1"/>
    <col min="4317" max="4317" width="20.125" style="1034" bestFit="1" customWidth="1"/>
    <col min="4318" max="4328" width="14.625" style="1034" customWidth="1"/>
    <col min="4329" max="4329" width="10.125" style="1034" customWidth="1"/>
    <col min="4330" max="4330" width="5.625" style="1034" customWidth="1"/>
    <col min="4331" max="4331" width="19.75" style="1034" customWidth="1"/>
    <col min="4332" max="4332" width="5.625" style="1034" customWidth="1"/>
    <col min="4333" max="4355" width="10" style="1034" customWidth="1"/>
    <col min="4356" max="4357" width="9" style="1034"/>
    <col min="4358" max="4361" width="10.5" style="1034" customWidth="1"/>
    <col min="4362" max="4566" width="9" style="1034"/>
    <col min="4567" max="4567" width="14.125" style="1034" customWidth="1"/>
    <col min="4568" max="4568" width="11.375" style="1034" customWidth="1"/>
    <col min="4569" max="4570" width="1.875" style="1034" customWidth="1"/>
    <col min="4571" max="4571" width="3" style="1034" bestFit="1" customWidth="1"/>
    <col min="4572" max="4572" width="34.5" style="1034" bestFit="1" customWidth="1"/>
    <col min="4573" max="4573" width="20.125" style="1034" bestFit="1" customWidth="1"/>
    <col min="4574" max="4584" width="14.625" style="1034" customWidth="1"/>
    <col min="4585" max="4585" width="10.125" style="1034" customWidth="1"/>
    <col min="4586" max="4586" width="5.625" style="1034" customWidth="1"/>
    <col min="4587" max="4587" width="19.75" style="1034" customWidth="1"/>
    <col min="4588" max="4588" width="5.625" style="1034" customWidth="1"/>
    <col min="4589" max="4611" width="10" style="1034" customWidth="1"/>
    <col min="4612" max="4613" width="9" style="1034"/>
    <col min="4614" max="4617" width="10.5" style="1034" customWidth="1"/>
    <col min="4618" max="4822" width="9" style="1034"/>
    <col min="4823" max="4823" width="14.125" style="1034" customWidth="1"/>
    <col min="4824" max="4824" width="11.375" style="1034" customWidth="1"/>
    <col min="4825" max="4826" width="1.875" style="1034" customWidth="1"/>
    <col min="4827" max="4827" width="3" style="1034" bestFit="1" customWidth="1"/>
    <col min="4828" max="4828" width="34.5" style="1034" bestFit="1" customWidth="1"/>
    <col min="4829" max="4829" width="20.125" style="1034" bestFit="1" customWidth="1"/>
    <col min="4830" max="4840" width="14.625" style="1034" customWidth="1"/>
    <col min="4841" max="4841" width="10.125" style="1034" customWidth="1"/>
    <col min="4842" max="4842" width="5.625" style="1034" customWidth="1"/>
    <col min="4843" max="4843" width="19.75" style="1034" customWidth="1"/>
    <col min="4844" max="4844" width="5.625" style="1034" customWidth="1"/>
    <col min="4845" max="4867" width="10" style="1034" customWidth="1"/>
    <col min="4868" max="4869" width="9" style="1034"/>
    <col min="4870" max="4873" width="10.5" style="1034" customWidth="1"/>
    <col min="4874" max="5078" width="9" style="1034"/>
    <col min="5079" max="5079" width="14.125" style="1034" customWidth="1"/>
    <col min="5080" max="5080" width="11.375" style="1034" customWidth="1"/>
    <col min="5081" max="5082" width="1.875" style="1034" customWidth="1"/>
    <col min="5083" max="5083" width="3" style="1034" bestFit="1" customWidth="1"/>
    <col min="5084" max="5084" width="34.5" style="1034" bestFit="1" customWidth="1"/>
    <col min="5085" max="5085" width="20.125" style="1034" bestFit="1" customWidth="1"/>
    <col min="5086" max="5096" width="14.625" style="1034" customWidth="1"/>
    <col min="5097" max="5097" width="10.125" style="1034" customWidth="1"/>
    <col min="5098" max="5098" width="5.625" style="1034" customWidth="1"/>
    <col min="5099" max="5099" width="19.75" style="1034" customWidth="1"/>
    <col min="5100" max="5100" width="5.625" style="1034" customWidth="1"/>
    <col min="5101" max="5123" width="10" style="1034" customWidth="1"/>
    <col min="5124" max="5125" width="9" style="1034"/>
    <col min="5126" max="5129" width="10.5" style="1034" customWidth="1"/>
    <col min="5130" max="5334" width="9" style="1034"/>
    <col min="5335" max="5335" width="14.125" style="1034" customWidth="1"/>
    <col min="5336" max="5336" width="11.375" style="1034" customWidth="1"/>
    <col min="5337" max="5338" width="1.875" style="1034" customWidth="1"/>
    <col min="5339" max="5339" width="3" style="1034" bestFit="1" customWidth="1"/>
    <col min="5340" max="5340" width="34.5" style="1034" bestFit="1" customWidth="1"/>
    <col min="5341" max="5341" width="20.125" style="1034" bestFit="1" customWidth="1"/>
    <col min="5342" max="5352" width="14.625" style="1034" customWidth="1"/>
    <col min="5353" max="5353" width="10.125" style="1034" customWidth="1"/>
    <col min="5354" max="5354" width="5.625" style="1034" customWidth="1"/>
    <col min="5355" max="5355" width="19.75" style="1034" customWidth="1"/>
    <col min="5356" max="5356" width="5.625" style="1034" customWidth="1"/>
    <col min="5357" max="5379" width="10" style="1034" customWidth="1"/>
    <col min="5380" max="5381" width="9" style="1034"/>
    <col min="5382" max="5385" width="10.5" style="1034" customWidth="1"/>
    <col min="5386" max="5590" width="9" style="1034"/>
    <col min="5591" max="5591" width="14.125" style="1034" customWidth="1"/>
    <col min="5592" max="5592" width="11.375" style="1034" customWidth="1"/>
    <col min="5593" max="5594" width="1.875" style="1034" customWidth="1"/>
    <col min="5595" max="5595" width="3" style="1034" bestFit="1" customWidth="1"/>
    <col min="5596" max="5596" width="34.5" style="1034" bestFit="1" customWidth="1"/>
    <col min="5597" max="5597" width="20.125" style="1034" bestFit="1" customWidth="1"/>
    <col min="5598" max="5608" width="14.625" style="1034" customWidth="1"/>
    <col min="5609" max="5609" width="10.125" style="1034" customWidth="1"/>
    <col min="5610" max="5610" width="5.625" style="1034" customWidth="1"/>
    <col min="5611" max="5611" width="19.75" style="1034" customWidth="1"/>
    <col min="5612" max="5612" width="5.625" style="1034" customWidth="1"/>
    <col min="5613" max="5635" width="10" style="1034" customWidth="1"/>
    <col min="5636" max="5637" width="9" style="1034"/>
    <col min="5638" max="5641" width="10.5" style="1034" customWidth="1"/>
    <col min="5642" max="5846" width="9" style="1034"/>
    <col min="5847" max="5847" width="14.125" style="1034" customWidth="1"/>
    <col min="5848" max="5848" width="11.375" style="1034" customWidth="1"/>
    <col min="5849" max="5850" width="1.875" style="1034" customWidth="1"/>
    <col min="5851" max="5851" width="3" style="1034" bestFit="1" customWidth="1"/>
    <col min="5852" max="5852" width="34.5" style="1034" bestFit="1" customWidth="1"/>
    <col min="5853" max="5853" width="20.125" style="1034" bestFit="1" customWidth="1"/>
    <col min="5854" max="5864" width="14.625" style="1034" customWidth="1"/>
    <col min="5865" max="5865" width="10.125" style="1034" customWidth="1"/>
    <col min="5866" max="5866" width="5.625" style="1034" customWidth="1"/>
    <col min="5867" max="5867" width="19.75" style="1034" customWidth="1"/>
    <col min="5868" max="5868" width="5.625" style="1034" customWidth="1"/>
    <col min="5869" max="5891" width="10" style="1034" customWidth="1"/>
    <col min="5892" max="5893" width="9" style="1034"/>
    <col min="5894" max="5897" width="10.5" style="1034" customWidth="1"/>
    <col min="5898" max="6102" width="9" style="1034"/>
    <col min="6103" max="6103" width="14.125" style="1034" customWidth="1"/>
    <col min="6104" max="6104" width="11.375" style="1034" customWidth="1"/>
    <col min="6105" max="6106" width="1.875" style="1034" customWidth="1"/>
    <col min="6107" max="6107" width="3" style="1034" bestFit="1" customWidth="1"/>
    <col min="6108" max="6108" width="34.5" style="1034" bestFit="1" customWidth="1"/>
    <col min="6109" max="6109" width="20.125" style="1034" bestFit="1" customWidth="1"/>
    <col min="6110" max="6120" width="14.625" style="1034" customWidth="1"/>
    <col min="6121" max="6121" width="10.125" style="1034" customWidth="1"/>
    <col min="6122" max="6122" width="5.625" style="1034" customWidth="1"/>
    <col min="6123" max="6123" width="19.75" style="1034" customWidth="1"/>
    <col min="6124" max="6124" width="5.625" style="1034" customWidth="1"/>
    <col min="6125" max="6147" width="10" style="1034" customWidth="1"/>
    <col min="6148" max="6149" width="9" style="1034"/>
    <col min="6150" max="6153" width="10.5" style="1034" customWidth="1"/>
    <col min="6154" max="6358" width="9" style="1034"/>
    <col min="6359" max="6359" width="14.125" style="1034" customWidth="1"/>
    <col min="6360" max="6360" width="11.375" style="1034" customWidth="1"/>
    <col min="6361" max="6362" width="1.875" style="1034" customWidth="1"/>
    <col min="6363" max="6363" width="3" style="1034" bestFit="1" customWidth="1"/>
    <col min="6364" max="6364" width="34.5" style="1034" bestFit="1" customWidth="1"/>
    <col min="6365" max="6365" width="20.125" style="1034" bestFit="1" customWidth="1"/>
    <col min="6366" max="6376" width="14.625" style="1034" customWidth="1"/>
    <col min="6377" max="6377" width="10.125" style="1034" customWidth="1"/>
    <col min="6378" max="6378" width="5.625" style="1034" customWidth="1"/>
    <col min="6379" max="6379" width="19.75" style="1034" customWidth="1"/>
    <col min="6380" max="6380" width="5.625" style="1034" customWidth="1"/>
    <col min="6381" max="6403" width="10" style="1034" customWidth="1"/>
    <col min="6404" max="6405" width="9" style="1034"/>
    <col min="6406" max="6409" width="10.5" style="1034" customWidth="1"/>
    <col min="6410" max="6614" width="9" style="1034"/>
    <col min="6615" max="6615" width="14.125" style="1034" customWidth="1"/>
    <col min="6616" max="6616" width="11.375" style="1034" customWidth="1"/>
    <col min="6617" max="6618" width="1.875" style="1034" customWidth="1"/>
    <col min="6619" max="6619" width="3" style="1034" bestFit="1" customWidth="1"/>
    <col min="6620" max="6620" width="34.5" style="1034" bestFit="1" customWidth="1"/>
    <col min="6621" max="6621" width="20.125" style="1034" bestFit="1" customWidth="1"/>
    <col min="6622" max="6632" width="14.625" style="1034" customWidth="1"/>
    <col min="6633" max="6633" width="10.125" style="1034" customWidth="1"/>
    <col min="6634" max="6634" width="5.625" style="1034" customWidth="1"/>
    <col min="6635" max="6635" width="19.75" style="1034" customWidth="1"/>
    <col min="6636" max="6636" width="5.625" style="1034" customWidth="1"/>
    <col min="6637" max="6659" width="10" style="1034" customWidth="1"/>
    <col min="6660" max="6661" width="9" style="1034"/>
    <col min="6662" max="6665" width="10.5" style="1034" customWidth="1"/>
    <col min="6666" max="6870" width="9" style="1034"/>
    <col min="6871" max="6871" width="14.125" style="1034" customWidth="1"/>
    <col min="6872" max="6872" width="11.375" style="1034" customWidth="1"/>
    <col min="6873" max="6874" width="1.875" style="1034" customWidth="1"/>
    <col min="6875" max="6875" width="3" style="1034" bestFit="1" customWidth="1"/>
    <col min="6876" max="6876" width="34.5" style="1034" bestFit="1" customWidth="1"/>
    <col min="6877" max="6877" width="20.125" style="1034" bestFit="1" customWidth="1"/>
    <col min="6878" max="6888" width="14.625" style="1034" customWidth="1"/>
    <col min="6889" max="6889" width="10.125" style="1034" customWidth="1"/>
    <col min="6890" max="6890" width="5.625" style="1034" customWidth="1"/>
    <col min="6891" max="6891" width="19.75" style="1034" customWidth="1"/>
    <col min="6892" max="6892" width="5.625" style="1034" customWidth="1"/>
    <col min="6893" max="6915" width="10" style="1034" customWidth="1"/>
    <col min="6916" max="6917" width="9" style="1034"/>
    <col min="6918" max="6921" width="10.5" style="1034" customWidth="1"/>
    <col min="6922" max="7126" width="9" style="1034"/>
    <col min="7127" max="7127" width="14.125" style="1034" customWidth="1"/>
    <col min="7128" max="7128" width="11.375" style="1034" customWidth="1"/>
    <col min="7129" max="7130" width="1.875" style="1034" customWidth="1"/>
    <col min="7131" max="7131" width="3" style="1034" bestFit="1" customWidth="1"/>
    <col min="7132" max="7132" width="34.5" style="1034" bestFit="1" customWidth="1"/>
    <col min="7133" max="7133" width="20.125" style="1034" bestFit="1" customWidth="1"/>
    <col min="7134" max="7144" width="14.625" style="1034" customWidth="1"/>
    <col min="7145" max="7145" width="10.125" style="1034" customWidth="1"/>
    <col min="7146" max="7146" width="5.625" style="1034" customWidth="1"/>
    <col min="7147" max="7147" width="19.75" style="1034" customWidth="1"/>
    <col min="7148" max="7148" width="5.625" style="1034" customWidth="1"/>
    <col min="7149" max="7171" width="10" style="1034" customWidth="1"/>
    <col min="7172" max="7173" width="9" style="1034"/>
    <col min="7174" max="7177" width="10.5" style="1034" customWidth="1"/>
    <col min="7178" max="7382" width="9" style="1034"/>
    <col min="7383" max="7383" width="14.125" style="1034" customWidth="1"/>
    <col min="7384" max="7384" width="11.375" style="1034" customWidth="1"/>
    <col min="7385" max="7386" width="1.875" style="1034" customWidth="1"/>
    <col min="7387" max="7387" width="3" style="1034" bestFit="1" customWidth="1"/>
    <col min="7388" max="7388" width="34.5" style="1034" bestFit="1" customWidth="1"/>
    <col min="7389" max="7389" width="20.125" style="1034" bestFit="1" customWidth="1"/>
    <col min="7390" max="7400" width="14.625" style="1034" customWidth="1"/>
    <col min="7401" max="7401" width="10.125" style="1034" customWidth="1"/>
    <col min="7402" max="7402" width="5.625" style="1034" customWidth="1"/>
    <col min="7403" max="7403" width="19.75" style="1034" customWidth="1"/>
    <col min="7404" max="7404" width="5.625" style="1034" customWidth="1"/>
    <col min="7405" max="7427" width="10" style="1034" customWidth="1"/>
    <col min="7428" max="7429" width="9" style="1034"/>
    <col min="7430" max="7433" width="10.5" style="1034" customWidth="1"/>
    <col min="7434" max="7638" width="9" style="1034"/>
    <col min="7639" max="7639" width="14.125" style="1034" customWidth="1"/>
    <col min="7640" max="7640" width="11.375" style="1034" customWidth="1"/>
    <col min="7641" max="7642" width="1.875" style="1034" customWidth="1"/>
    <col min="7643" max="7643" width="3" style="1034" bestFit="1" customWidth="1"/>
    <col min="7644" max="7644" width="34.5" style="1034" bestFit="1" customWidth="1"/>
    <col min="7645" max="7645" width="20.125" style="1034" bestFit="1" customWidth="1"/>
    <col min="7646" max="7656" width="14.625" style="1034" customWidth="1"/>
    <col min="7657" max="7657" width="10.125" style="1034" customWidth="1"/>
    <col min="7658" max="7658" width="5.625" style="1034" customWidth="1"/>
    <col min="7659" max="7659" width="19.75" style="1034" customWidth="1"/>
    <col min="7660" max="7660" width="5.625" style="1034" customWidth="1"/>
    <col min="7661" max="7683" width="10" style="1034" customWidth="1"/>
    <col min="7684" max="7685" width="9" style="1034"/>
    <col min="7686" max="7689" width="10.5" style="1034" customWidth="1"/>
    <col min="7690" max="7894" width="9" style="1034"/>
    <col min="7895" max="7895" width="14.125" style="1034" customWidth="1"/>
    <col min="7896" max="7896" width="11.375" style="1034" customWidth="1"/>
    <col min="7897" max="7898" width="1.875" style="1034" customWidth="1"/>
    <col min="7899" max="7899" width="3" style="1034" bestFit="1" customWidth="1"/>
    <col min="7900" max="7900" width="34.5" style="1034" bestFit="1" customWidth="1"/>
    <col min="7901" max="7901" width="20.125" style="1034" bestFit="1" customWidth="1"/>
    <col min="7902" max="7912" width="14.625" style="1034" customWidth="1"/>
    <col min="7913" max="7913" width="10.125" style="1034" customWidth="1"/>
    <col min="7914" max="7914" width="5.625" style="1034" customWidth="1"/>
    <col min="7915" max="7915" width="19.75" style="1034" customWidth="1"/>
    <col min="7916" max="7916" width="5.625" style="1034" customWidth="1"/>
    <col min="7917" max="7939" width="10" style="1034" customWidth="1"/>
    <col min="7940" max="7941" width="9" style="1034"/>
    <col min="7942" max="7945" width="10.5" style="1034" customWidth="1"/>
    <col min="7946" max="8150" width="9" style="1034"/>
    <col min="8151" max="8151" width="14.125" style="1034" customWidth="1"/>
    <col min="8152" max="8152" width="11.375" style="1034" customWidth="1"/>
    <col min="8153" max="8154" width="1.875" style="1034" customWidth="1"/>
    <col min="8155" max="8155" width="3" style="1034" bestFit="1" customWidth="1"/>
    <col min="8156" max="8156" width="34.5" style="1034" bestFit="1" customWidth="1"/>
    <col min="8157" max="8157" width="20.125" style="1034" bestFit="1" customWidth="1"/>
    <col min="8158" max="8168" width="14.625" style="1034" customWidth="1"/>
    <col min="8169" max="8169" width="10.125" style="1034" customWidth="1"/>
    <col min="8170" max="8170" width="5.625" style="1034" customWidth="1"/>
    <col min="8171" max="8171" width="19.75" style="1034" customWidth="1"/>
    <col min="8172" max="8172" width="5.625" style="1034" customWidth="1"/>
    <col min="8173" max="8195" width="10" style="1034" customWidth="1"/>
    <col min="8196" max="8197" width="9" style="1034"/>
    <col min="8198" max="8201" width="10.5" style="1034" customWidth="1"/>
    <col min="8202" max="8406" width="9" style="1034"/>
    <col min="8407" max="8407" width="14.125" style="1034" customWidth="1"/>
    <col min="8408" max="8408" width="11.375" style="1034" customWidth="1"/>
    <col min="8409" max="8410" width="1.875" style="1034" customWidth="1"/>
    <col min="8411" max="8411" width="3" style="1034" bestFit="1" customWidth="1"/>
    <col min="8412" max="8412" width="34.5" style="1034" bestFit="1" customWidth="1"/>
    <col min="8413" max="8413" width="20.125" style="1034" bestFit="1" customWidth="1"/>
    <col min="8414" max="8424" width="14.625" style="1034" customWidth="1"/>
    <col min="8425" max="8425" width="10.125" style="1034" customWidth="1"/>
    <col min="8426" max="8426" width="5.625" style="1034" customWidth="1"/>
    <col min="8427" max="8427" width="19.75" style="1034" customWidth="1"/>
    <col min="8428" max="8428" width="5.625" style="1034" customWidth="1"/>
    <col min="8429" max="8451" width="10" style="1034" customWidth="1"/>
    <col min="8452" max="8453" width="9" style="1034"/>
    <col min="8454" max="8457" width="10.5" style="1034" customWidth="1"/>
    <col min="8458" max="8662" width="9" style="1034"/>
    <col min="8663" max="8663" width="14.125" style="1034" customWidth="1"/>
    <col min="8664" max="8664" width="11.375" style="1034" customWidth="1"/>
    <col min="8665" max="8666" width="1.875" style="1034" customWidth="1"/>
    <col min="8667" max="8667" width="3" style="1034" bestFit="1" customWidth="1"/>
    <col min="8668" max="8668" width="34.5" style="1034" bestFit="1" customWidth="1"/>
    <col min="8669" max="8669" width="20.125" style="1034" bestFit="1" customWidth="1"/>
    <col min="8670" max="8680" width="14.625" style="1034" customWidth="1"/>
    <col min="8681" max="8681" width="10.125" style="1034" customWidth="1"/>
    <col min="8682" max="8682" width="5.625" style="1034" customWidth="1"/>
    <col min="8683" max="8683" width="19.75" style="1034" customWidth="1"/>
    <col min="8684" max="8684" width="5.625" style="1034" customWidth="1"/>
    <col min="8685" max="8707" width="10" style="1034" customWidth="1"/>
    <col min="8708" max="8709" width="9" style="1034"/>
    <col min="8710" max="8713" width="10.5" style="1034" customWidth="1"/>
    <col min="8714" max="8918" width="9" style="1034"/>
    <col min="8919" max="8919" width="14.125" style="1034" customWidth="1"/>
    <col min="8920" max="8920" width="11.375" style="1034" customWidth="1"/>
    <col min="8921" max="8922" width="1.875" style="1034" customWidth="1"/>
    <col min="8923" max="8923" width="3" style="1034" bestFit="1" customWidth="1"/>
    <col min="8924" max="8924" width="34.5" style="1034" bestFit="1" customWidth="1"/>
    <col min="8925" max="8925" width="20.125" style="1034" bestFit="1" customWidth="1"/>
    <col min="8926" max="8936" width="14.625" style="1034" customWidth="1"/>
    <col min="8937" max="8937" width="10.125" style="1034" customWidth="1"/>
    <col min="8938" max="8938" width="5.625" style="1034" customWidth="1"/>
    <col min="8939" max="8939" width="19.75" style="1034" customWidth="1"/>
    <col min="8940" max="8940" width="5.625" style="1034" customWidth="1"/>
    <col min="8941" max="8963" width="10" style="1034" customWidth="1"/>
    <col min="8964" max="8965" width="9" style="1034"/>
    <col min="8966" max="8969" width="10.5" style="1034" customWidth="1"/>
    <col min="8970" max="9174" width="9" style="1034"/>
    <col min="9175" max="9175" width="14.125" style="1034" customWidth="1"/>
    <col min="9176" max="9176" width="11.375" style="1034" customWidth="1"/>
    <col min="9177" max="9178" width="1.875" style="1034" customWidth="1"/>
    <col min="9179" max="9179" width="3" style="1034" bestFit="1" customWidth="1"/>
    <col min="9180" max="9180" width="34.5" style="1034" bestFit="1" customWidth="1"/>
    <col min="9181" max="9181" width="20.125" style="1034" bestFit="1" customWidth="1"/>
    <col min="9182" max="9192" width="14.625" style="1034" customWidth="1"/>
    <col min="9193" max="9193" width="10.125" style="1034" customWidth="1"/>
    <col min="9194" max="9194" width="5.625" style="1034" customWidth="1"/>
    <col min="9195" max="9195" width="19.75" style="1034" customWidth="1"/>
    <col min="9196" max="9196" width="5.625" style="1034" customWidth="1"/>
    <col min="9197" max="9219" width="10" style="1034" customWidth="1"/>
    <col min="9220" max="9221" width="9" style="1034"/>
    <col min="9222" max="9225" width="10.5" style="1034" customWidth="1"/>
    <col min="9226" max="9430" width="9" style="1034"/>
    <col min="9431" max="9431" width="14.125" style="1034" customWidth="1"/>
    <col min="9432" max="9432" width="11.375" style="1034" customWidth="1"/>
    <col min="9433" max="9434" width="1.875" style="1034" customWidth="1"/>
    <col min="9435" max="9435" width="3" style="1034" bestFit="1" customWidth="1"/>
    <col min="9436" max="9436" width="34.5" style="1034" bestFit="1" customWidth="1"/>
    <col min="9437" max="9437" width="20.125" style="1034" bestFit="1" customWidth="1"/>
    <col min="9438" max="9448" width="14.625" style="1034" customWidth="1"/>
    <col min="9449" max="9449" width="10.125" style="1034" customWidth="1"/>
    <col min="9450" max="9450" width="5.625" style="1034" customWidth="1"/>
    <col min="9451" max="9451" width="19.75" style="1034" customWidth="1"/>
    <col min="9452" max="9452" width="5.625" style="1034" customWidth="1"/>
    <col min="9453" max="9475" width="10" style="1034" customWidth="1"/>
    <col min="9476" max="9477" width="9" style="1034"/>
    <col min="9478" max="9481" width="10.5" style="1034" customWidth="1"/>
    <col min="9482" max="9686" width="9" style="1034"/>
    <col min="9687" max="9687" width="14.125" style="1034" customWidth="1"/>
    <col min="9688" max="9688" width="11.375" style="1034" customWidth="1"/>
    <col min="9689" max="9690" width="1.875" style="1034" customWidth="1"/>
    <col min="9691" max="9691" width="3" style="1034" bestFit="1" customWidth="1"/>
    <col min="9692" max="9692" width="34.5" style="1034" bestFit="1" customWidth="1"/>
    <col min="9693" max="9693" width="20.125" style="1034" bestFit="1" customWidth="1"/>
    <col min="9694" max="9704" width="14.625" style="1034" customWidth="1"/>
    <col min="9705" max="9705" width="10.125" style="1034" customWidth="1"/>
    <col min="9706" max="9706" width="5.625" style="1034" customWidth="1"/>
    <col min="9707" max="9707" width="19.75" style="1034" customWidth="1"/>
    <col min="9708" max="9708" width="5.625" style="1034" customWidth="1"/>
    <col min="9709" max="9731" width="10" style="1034" customWidth="1"/>
    <col min="9732" max="9733" width="9" style="1034"/>
    <col min="9734" max="9737" width="10.5" style="1034" customWidth="1"/>
    <col min="9738" max="9942" width="9" style="1034"/>
    <col min="9943" max="9943" width="14.125" style="1034" customWidth="1"/>
    <col min="9944" max="9944" width="11.375" style="1034" customWidth="1"/>
    <col min="9945" max="9946" width="1.875" style="1034" customWidth="1"/>
    <col min="9947" max="9947" width="3" style="1034" bestFit="1" customWidth="1"/>
    <col min="9948" max="9948" width="34.5" style="1034" bestFit="1" customWidth="1"/>
    <col min="9949" max="9949" width="20.125" style="1034" bestFit="1" customWidth="1"/>
    <col min="9950" max="9960" width="14.625" style="1034" customWidth="1"/>
    <col min="9961" max="9961" width="10.125" style="1034" customWidth="1"/>
    <col min="9962" max="9962" width="5.625" style="1034" customWidth="1"/>
    <col min="9963" max="9963" width="19.75" style="1034" customWidth="1"/>
    <col min="9964" max="9964" width="5.625" style="1034" customWidth="1"/>
    <col min="9965" max="9987" width="10" style="1034" customWidth="1"/>
    <col min="9988" max="9989" width="9" style="1034"/>
    <col min="9990" max="9993" width="10.5" style="1034" customWidth="1"/>
    <col min="9994" max="10198" width="9" style="1034"/>
    <col min="10199" max="10199" width="14.125" style="1034" customWidth="1"/>
    <col min="10200" max="10200" width="11.375" style="1034" customWidth="1"/>
    <col min="10201" max="10202" width="1.875" style="1034" customWidth="1"/>
    <col min="10203" max="10203" width="3" style="1034" bestFit="1" customWidth="1"/>
    <col min="10204" max="10204" width="34.5" style="1034" bestFit="1" customWidth="1"/>
    <col min="10205" max="10205" width="20.125" style="1034" bestFit="1" customWidth="1"/>
    <col min="10206" max="10216" width="14.625" style="1034" customWidth="1"/>
    <col min="10217" max="10217" width="10.125" style="1034" customWidth="1"/>
    <col min="10218" max="10218" width="5.625" style="1034" customWidth="1"/>
    <col min="10219" max="10219" width="19.75" style="1034" customWidth="1"/>
    <col min="10220" max="10220" width="5.625" style="1034" customWidth="1"/>
    <col min="10221" max="10243" width="10" style="1034" customWidth="1"/>
    <col min="10244" max="10245" width="9" style="1034"/>
    <col min="10246" max="10249" width="10.5" style="1034" customWidth="1"/>
    <col min="10250" max="10454" width="9" style="1034"/>
    <col min="10455" max="10455" width="14.125" style="1034" customWidth="1"/>
    <col min="10456" max="10456" width="11.375" style="1034" customWidth="1"/>
    <col min="10457" max="10458" width="1.875" style="1034" customWidth="1"/>
    <col min="10459" max="10459" width="3" style="1034" bestFit="1" customWidth="1"/>
    <col min="10460" max="10460" width="34.5" style="1034" bestFit="1" customWidth="1"/>
    <col min="10461" max="10461" width="20.125" style="1034" bestFit="1" customWidth="1"/>
    <col min="10462" max="10472" width="14.625" style="1034" customWidth="1"/>
    <col min="10473" max="10473" width="10.125" style="1034" customWidth="1"/>
    <col min="10474" max="10474" width="5.625" style="1034" customWidth="1"/>
    <col min="10475" max="10475" width="19.75" style="1034" customWidth="1"/>
    <col min="10476" max="10476" width="5.625" style="1034" customWidth="1"/>
    <col min="10477" max="10499" width="10" style="1034" customWidth="1"/>
    <col min="10500" max="10501" width="9" style="1034"/>
    <col min="10502" max="10505" width="10.5" style="1034" customWidth="1"/>
    <col min="10506" max="10710" width="9" style="1034"/>
    <col min="10711" max="10711" width="14.125" style="1034" customWidth="1"/>
    <col min="10712" max="10712" width="11.375" style="1034" customWidth="1"/>
    <col min="10713" max="10714" width="1.875" style="1034" customWidth="1"/>
    <col min="10715" max="10715" width="3" style="1034" bestFit="1" customWidth="1"/>
    <col min="10716" max="10716" width="34.5" style="1034" bestFit="1" customWidth="1"/>
    <col min="10717" max="10717" width="20.125" style="1034" bestFit="1" customWidth="1"/>
    <col min="10718" max="10728" width="14.625" style="1034" customWidth="1"/>
    <col min="10729" max="10729" width="10.125" style="1034" customWidth="1"/>
    <col min="10730" max="10730" width="5.625" style="1034" customWidth="1"/>
    <col min="10731" max="10731" width="19.75" style="1034" customWidth="1"/>
    <col min="10732" max="10732" width="5.625" style="1034" customWidth="1"/>
    <col min="10733" max="10755" width="10" style="1034" customWidth="1"/>
    <col min="10756" max="10757" width="9" style="1034"/>
    <col min="10758" max="10761" width="10.5" style="1034" customWidth="1"/>
    <col min="10762" max="10966" width="9" style="1034"/>
    <col min="10967" max="10967" width="14.125" style="1034" customWidth="1"/>
    <col min="10968" max="10968" width="11.375" style="1034" customWidth="1"/>
    <col min="10969" max="10970" width="1.875" style="1034" customWidth="1"/>
    <col min="10971" max="10971" width="3" style="1034" bestFit="1" customWidth="1"/>
    <col min="10972" max="10972" width="34.5" style="1034" bestFit="1" customWidth="1"/>
    <col min="10973" max="10973" width="20.125" style="1034" bestFit="1" customWidth="1"/>
    <col min="10974" max="10984" width="14.625" style="1034" customWidth="1"/>
    <col min="10985" max="10985" width="10.125" style="1034" customWidth="1"/>
    <col min="10986" max="10986" width="5.625" style="1034" customWidth="1"/>
    <col min="10987" max="10987" width="19.75" style="1034" customWidth="1"/>
    <col min="10988" max="10988" width="5.625" style="1034" customWidth="1"/>
    <col min="10989" max="11011" width="10" style="1034" customWidth="1"/>
    <col min="11012" max="11013" width="9" style="1034"/>
    <col min="11014" max="11017" width="10.5" style="1034" customWidth="1"/>
    <col min="11018" max="11222" width="9" style="1034"/>
    <col min="11223" max="11223" width="14.125" style="1034" customWidth="1"/>
    <col min="11224" max="11224" width="11.375" style="1034" customWidth="1"/>
    <col min="11225" max="11226" width="1.875" style="1034" customWidth="1"/>
    <col min="11227" max="11227" width="3" style="1034" bestFit="1" customWidth="1"/>
    <col min="11228" max="11228" width="34.5" style="1034" bestFit="1" customWidth="1"/>
    <col min="11229" max="11229" width="20.125" style="1034" bestFit="1" customWidth="1"/>
    <col min="11230" max="11240" width="14.625" style="1034" customWidth="1"/>
    <col min="11241" max="11241" width="10.125" style="1034" customWidth="1"/>
    <col min="11242" max="11242" width="5.625" style="1034" customWidth="1"/>
    <col min="11243" max="11243" width="19.75" style="1034" customWidth="1"/>
    <col min="11244" max="11244" width="5.625" style="1034" customWidth="1"/>
    <col min="11245" max="11267" width="10" style="1034" customWidth="1"/>
    <col min="11268" max="11269" width="9" style="1034"/>
    <col min="11270" max="11273" width="10.5" style="1034" customWidth="1"/>
    <col min="11274" max="11478" width="9" style="1034"/>
    <col min="11479" max="11479" width="14.125" style="1034" customWidth="1"/>
    <col min="11480" max="11480" width="11.375" style="1034" customWidth="1"/>
    <col min="11481" max="11482" width="1.875" style="1034" customWidth="1"/>
    <col min="11483" max="11483" width="3" style="1034" bestFit="1" customWidth="1"/>
    <col min="11484" max="11484" width="34.5" style="1034" bestFit="1" customWidth="1"/>
    <col min="11485" max="11485" width="20.125" style="1034" bestFit="1" customWidth="1"/>
    <col min="11486" max="11496" width="14.625" style="1034" customWidth="1"/>
    <col min="11497" max="11497" width="10.125" style="1034" customWidth="1"/>
    <col min="11498" max="11498" width="5.625" style="1034" customWidth="1"/>
    <col min="11499" max="11499" width="19.75" style="1034" customWidth="1"/>
    <col min="11500" max="11500" width="5.625" style="1034" customWidth="1"/>
    <col min="11501" max="11523" width="10" style="1034" customWidth="1"/>
    <col min="11524" max="11525" width="9" style="1034"/>
    <col min="11526" max="11529" width="10.5" style="1034" customWidth="1"/>
    <col min="11530" max="11734" width="9" style="1034"/>
    <col min="11735" max="11735" width="14.125" style="1034" customWidth="1"/>
    <col min="11736" max="11736" width="11.375" style="1034" customWidth="1"/>
    <col min="11737" max="11738" width="1.875" style="1034" customWidth="1"/>
    <col min="11739" max="11739" width="3" style="1034" bestFit="1" customWidth="1"/>
    <col min="11740" max="11740" width="34.5" style="1034" bestFit="1" customWidth="1"/>
    <col min="11741" max="11741" width="20.125" style="1034" bestFit="1" customWidth="1"/>
    <col min="11742" max="11752" width="14.625" style="1034" customWidth="1"/>
    <col min="11753" max="11753" width="10.125" style="1034" customWidth="1"/>
    <col min="11754" max="11754" width="5.625" style="1034" customWidth="1"/>
    <col min="11755" max="11755" width="19.75" style="1034" customWidth="1"/>
    <col min="11756" max="11756" width="5.625" style="1034" customWidth="1"/>
    <col min="11757" max="11779" width="10" style="1034" customWidth="1"/>
    <col min="11780" max="11781" width="9" style="1034"/>
    <col min="11782" max="11785" width="10.5" style="1034" customWidth="1"/>
    <col min="11786" max="11990" width="9" style="1034"/>
    <col min="11991" max="11991" width="14.125" style="1034" customWidth="1"/>
    <col min="11992" max="11992" width="11.375" style="1034" customWidth="1"/>
    <col min="11993" max="11994" width="1.875" style="1034" customWidth="1"/>
    <col min="11995" max="11995" width="3" style="1034" bestFit="1" customWidth="1"/>
    <col min="11996" max="11996" width="34.5" style="1034" bestFit="1" customWidth="1"/>
    <col min="11997" max="11997" width="20.125" style="1034" bestFit="1" customWidth="1"/>
    <col min="11998" max="12008" width="14.625" style="1034" customWidth="1"/>
    <col min="12009" max="12009" width="10.125" style="1034" customWidth="1"/>
    <col min="12010" max="12010" width="5.625" style="1034" customWidth="1"/>
    <col min="12011" max="12011" width="19.75" style="1034" customWidth="1"/>
    <col min="12012" max="12012" width="5.625" style="1034" customWidth="1"/>
    <col min="12013" max="12035" width="10" style="1034" customWidth="1"/>
    <col min="12036" max="12037" width="9" style="1034"/>
    <col min="12038" max="12041" width="10.5" style="1034" customWidth="1"/>
    <col min="12042" max="12246" width="9" style="1034"/>
    <col min="12247" max="12247" width="14.125" style="1034" customWidth="1"/>
    <col min="12248" max="12248" width="11.375" style="1034" customWidth="1"/>
    <col min="12249" max="12250" width="1.875" style="1034" customWidth="1"/>
    <col min="12251" max="12251" width="3" style="1034" bestFit="1" customWidth="1"/>
    <col min="12252" max="12252" width="34.5" style="1034" bestFit="1" customWidth="1"/>
    <col min="12253" max="12253" width="20.125" style="1034" bestFit="1" customWidth="1"/>
    <col min="12254" max="12264" width="14.625" style="1034" customWidth="1"/>
    <col min="12265" max="12265" width="10.125" style="1034" customWidth="1"/>
    <col min="12266" max="12266" width="5.625" style="1034" customWidth="1"/>
    <col min="12267" max="12267" width="19.75" style="1034" customWidth="1"/>
    <col min="12268" max="12268" width="5.625" style="1034" customWidth="1"/>
    <col min="12269" max="12291" width="10" style="1034" customWidth="1"/>
    <col min="12292" max="12293" width="9" style="1034"/>
    <col min="12294" max="12297" width="10.5" style="1034" customWidth="1"/>
    <col min="12298" max="12502" width="9" style="1034"/>
    <col min="12503" max="12503" width="14.125" style="1034" customWidth="1"/>
    <col min="12504" max="12504" width="11.375" style="1034" customWidth="1"/>
    <col min="12505" max="12506" width="1.875" style="1034" customWidth="1"/>
    <col min="12507" max="12507" width="3" style="1034" bestFit="1" customWidth="1"/>
    <col min="12508" max="12508" width="34.5" style="1034" bestFit="1" customWidth="1"/>
    <col min="12509" max="12509" width="20.125" style="1034" bestFit="1" customWidth="1"/>
    <col min="12510" max="12520" width="14.625" style="1034" customWidth="1"/>
    <col min="12521" max="12521" width="10.125" style="1034" customWidth="1"/>
    <col min="12522" max="12522" width="5.625" style="1034" customWidth="1"/>
    <col min="12523" max="12523" width="19.75" style="1034" customWidth="1"/>
    <col min="12524" max="12524" width="5.625" style="1034" customWidth="1"/>
    <col min="12525" max="12547" width="10" style="1034" customWidth="1"/>
    <col min="12548" max="12549" width="9" style="1034"/>
    <col min="12550" max="12553" width="10.5" style="1034" customWidth="1"/>
    <col min="12554" max="12758" width="9" style="1034"/>
    <col min="12759" max="12759" width="14.125" style="1034" customWidth="1"/>
    <col min="12760" max="12760" width="11.375" style="1034" customWidth="1"/>
    <col min="12761" max="12762" width="1.875" style="1034" customWidth="1"/>
    <col min="12763" max="12763" width="3" style="1034" bestFit="1" customWidth="1"/>
    <col min="12764" max="12764" width="34.5" style="1034" bestFit="1" customWidth="1"/>
    <col min="12765" max="12765" width="20.125" style="1034" bestFit="1" customWidth="1"/>
    <col min="12766" max="12776" width="14.625" style="1034" customWidth="1"/>
    <col min="12777" max="12777" width="10.125" style="1034" customWidth="1"/>
    <col min="12778" max="12778" width="5.625" style="1034" customWidth="1"/>
    <col min="12779" max="12779" width="19.75" style="1034" customWidth="1"/>
    <col min="12780" max="12780" width="5.625" style="1034" customWidth="1"/>
    <col min="12781" max="12803" width="10" style="1034" customWidth="1"/>
    <col min="12804" max="12805" width="9" style="1034"/>
    <col min="12806" max="12809" width="10.5" style="1034" customWidth="1"/>
    <col min="12810" max="13014" width="9" style="1034"/>
    <col min="13015" max="13015" width="14.125" style="1034" customWidth="1"/>
    <col min="13016" max="13016" width="11.375" style="1034" customWidth="1"/>
    <col min="13017" max="13018" width="1.875" style="1034" customWidth="1"/>
    <col min="13019" max="13019" width="3" style="1034" bestFit="1" customWidth="1"/>
    <col min="13020" max="13020" width="34.5" style="1034" bestFit="1" customWidth="1"/>
    <col min="13021" max="13021" width="20.125" style="1034" bestFit="1" customWidth="1"/>
    <col min="13022" max="13032" width="14.625" style="1034" customWidth="1"/>
    <col min="13033" max="13033" width="10.125" style="1034" customWidth="1"/>
    <col min="13034" max="13034" width="5.625" style="1034" customWidth="1"/>
    <col min="13035" max="13035" width="19.75" style="1034" customWidth="1"/>
    <col min="13036" max="13036" width="5.625" style="1034" customWidth="1"/>
    <col min="13037" max="13059" width="10" style="1034" customWidth="1"/>
    <col min="13060" max="13061" width="9" style="1034"/>
    <col min="13062" max="13065" width="10.5" style="1034" customWidth="1"/>
    <col min="13066" max="13270" width="9" style="1034"/>
    <col min="13271" max="13271" width="14.125" style="1034" customWidth="1"/>
    <col min="13272" max="13272" width="11.375" style="1034" customWidth="1"/>
    <col min="13273" max="13274" width="1.875" style="1034" customWidth="1"/>
    <col min="13275" max="13275" width="3" style="1034" bestFit="1" customWidth="1"/>
    <col min="13276" max="13276" width="34.5" style="1034" bestFit="1" customWidth="1"/>
    <col min="13277" max="13277" width="20.125" style="1034" bestFit="1" customWidth="1"/>
    <col min="13278" max="13288" width="14.625" style="1034" customWidth="1"/>
    <col min="13289" max="13289" width="10.125" style="1034" customWidth="1"/>
    <col min="13290" max="13290" width="5.625" style="1034" customWidth="1"/>
    <col min="13291" max="13291" width="19.75" style="1034" customWidth="1"/>
    <col min="13292" max="13292" width="5.625" style="1034" customWidth="1"/>
    <col min="13293" max="13315" width="10" style="1034" customWidth="1"/>
    <col min="13316" max="13317" width="9" style="1034"/>
    <col min="13318" max="13321" width="10.5" style="1034" customWidth="1"/>
    <col min="13322" max="13526" width="9" style="1034"/>
    <col min="13527" max="13527" width="14.125" style="1034" customWidth="1"/>
    <col min="13528" max="13528" width="11.375" style="1034" customWidth="1"/>
    <col min="13529" max="13530" width="1.875" style="1034" customWidth="1"/>
    <col min="13531" max="13531" width="3" style="1034" bestFit="1" customWidth="1"/>
    <col min="13532" max="13532" width="34.5" style="1034" bestFit="1" customWidth="1"/>
    <col min="13533" max="13533" width="20.125" style="1034" bestFit="1" customWidth="1"/>
    <col min="13534" max="13544" width="14.625" style="1034" customWidth="1"/>
    <col min="13545" max="13545" width="10.125" style="1034" customWidth="1"/>
    <col min="13546" max="13546" width="5.625" style="1034" customWidth="1"/>
    <col min="13547" max="13547" width="19.75" style="1034" customWidth="1"/>
    <col min="13548" max="13548" width="5.625" style="1034" customWidth="1"/>
    <col min="13549" max="13571" width="10" style="1034" customWidth="1"/>
    <col min="13572" max="13573" width="9" style="1034"/>
    <col min="13574" max="13577" width="10.5" style="1034" customWidth="1"/>
    <col min="13578" max="13782" width="9" style="1034"/>
    <col min="13783" max="13783" width="14.125" style="1034" customWidth="1"/>
    <col min="13784" max="13784" width="11.375" style="1034" customWidth="1"/>
    <col min="13785" max="13786" width="1.875" style="1034" customWidth="1"/>
    <col min="13787" max="13787" width="3" style="1034" bestFit="1" customWidth="1"/>
    <col min="13788" max="13788" width="34.5" style="1034" bestFit="1" customWidth="1"/>
    <col min="13789" max="13789" width="20.125" style="1034" bestFit="1" customWidth="1"/>
    <col min="13790" max="13800" width="14.625" style="1034" customWidth="1"/>
    <col min="13801" max="13801" width="10.125" style="1034" customWidth="1"/>
    <col min="13802" max="13802" width="5.625" style="1034" customWidth="1"/>
    <col min="13803" max="13803" width="19.75" style="1034" customWidth="1"/>
    <col min="13804" max="13804" width="5.625" style="1034" customWidth="1"/>
    <col min="13805" max="13827" width="10" style="1034" customWidth="1"/>
    <col min="13828" max="13829" width="9" style="1034"/>
    <col min="13830" max="13833" width="10.5" style="1034" customWidth="1"/>
    <col min="13834" max="14038" width="9" style="1034"/>
    <col min="14039" max="14039" width="14.125" style="1034" customWidth="1"/>
    <col min="14040" max="14040" width="11.375" style="1034" customWidth="1"/>
    <col min="14041" max="14042" width="1.875" style="1034" customWidth="1"/>
    <col min="14043" max="14043" width="3" style="1034" bestFit="1" customWidth="1"/>
    <col min="14044" max="14044" width="34.5" style="1034" bestFit="1" customWidth="1"/>
    <col min="14045" max="14045" width="20.125" style="1034" bestFit="1" customWidth="1"/>
    <col min="14046" max="14056" width="14.625" style="1034" customWidth="1"/>
    <col min="14057" max="14057" width="10.125" style="1034" customWidth="1"/>
    <col min="14058" max="14058" width="5.625" style="1034" customWidth="1"/>
    <col min="14059" max="14059" width="19.75" style="1034" customWidth="1"/>
    <col min="14060" max="14060" width="5.625" style="1034" customWidth="1"/>
    <col min="14061" max="14083" width="10" style="1034" customWidth="1"/>
    <col min="14084" max="14085" width="9" style="1034"/>
    <col min="14086" max="14089" width="10.5" style="1034" customWidth="1"/>
    <col min="14090" max="14294" width="9" style="1034"/>
    <col min="14295" max="14295" width="14.125" style="1034" customWidth="1"/>
    <col min="14296" max="14296" width="11.375" style="1034" customWidth="1"/>
    <col min="14297" max="14298" width="1.875" style="1034" customWidth="1"/>
    <col min="14299" max="14299" width="3" style="1034" bestFit="1" customWidth="1"/>
    <col min="14300" max="14300" width="34.5" style="1034" bestFit="1" customWidth="1"/>
    <col min="14301" max="14301" width="20.125" style="1034" bestFit="1" customWidth="1"/>
    <col min="14302" max="14312" width="14.625" style="1034" customWidth="1"/>
    <col min="14313" max="14313" width="10.125" style="1034" customWidth="1"/>
    <col min="14314" max="14314" width="5.625" style="1034" customWidth="1"/>
    <col min="14315" max="14315" width="19.75" style="1034" customWidth="1"/>
    <col min="14316" max="14316" width="5.625" style="1034" customWidth="1"/>
    <col min="14317" max="14339" width="10" style="1034" customWidth="1"/>
    <col min="14340" max="14341" width="9" style="1034"/>
    <col min="14342" max="14345" width="10.5" style="1034" customWidth="1"/>
    <col min="14346" max="14550" width="9" style="1034"/>
    <col min="14551" max="14551" width="14.125" style="1034" customWidth="1"/>
    <col min="14552" max="14552" width="11.375" style="1034" customWidth="1"/>
    <col min="14553" max="14554" width="1.875" style="1034" customWidth="1"/>
    <col min="14555" max="14555" width="3" style="1034" bestFit="1" customWidth="1"/>
    <col min="14556" max="14556" width="34.5" style="1034" bestFit="1" customWidth="1"/>
    <col min="14557" max="14557" width="20.125" style="1034" bestFit="1" customWidth="1"/>
    <col min="14558" max="14568" width="14.625" style="1034" customWidth="1"/>
    <col min="14569" max="14569" width="10.125" style="1034" customWidth="1"/>
    <col min="14570" max="14570" width="5.625" style="1034" customWidth="1"/>
    <col min="14571" max="14571" width="19.75" style="1034" customWidth="1"/>
    <col min="14572" max="14572" width="5.625" style="1034" customWidth="1"/>
    <col min="14573" max="14595" width="10" style="1034" customWidth="1"/>
    <col min="14596" max="14597" width="9" style="1034"/>
    <col min="14598" max="14601" width="10.5" style="1034" customWidth="1"/>
    <col min="14602" max="14806" width="9" style="1034"/>
    <col min="14807" max="14807" width="14.125" style="1034" customWidth="1"/>
    <col min="14808" max="14808" width="11.375" style="1034" customWidth="1"/>
    <col min="14809" max="14810" width="1.875" style="1034" customWidth="1"/>
    <col min="14811" max="14811" width="3" style="1034" bestFit="1" customWidth="1"/>
    <col min="14812" max="14812" width="34.5" style="1034" bestFit="1" customWidth="1"/>
    <col min="14813" max="14813" width="20.125" style="1034" bestFit="1" customWidth="1"/>
    <col min="14814" max="14824" width="14.625" style="1034" customWidth="1"/>
    <col min="14825" max="14825" width="10.125" style="1034" customWidth="1"/>
    <col min="14826" max="14826" width="5.625" style="1034" customWidth="1"/>
    <col min="14827" max="14827" width="19.75" style="1034" customWidth="1"/>
    <col min="14828" max="14828" width="5.625" style="1034" customWidth="1"/>
    <col min="14829" max="14851" width="10" style="1034" customWidth="1"/>
    <col min="14852" max="14853" width="9" style="1034"/>
    <col min="14854" max="14857" width="10.5" style="1034" customWidth="1"/>
    <col min="14858" max="15062" width="9" style="1034"/>
    <col min="15063" max="15063" width="14.125" style="1034" customWidth="1"/>
    <col min="15064" max="15064" width="11.375" style="1034" customWidth="1"/>
    <col min="15065" max="15066" width="1.875" style="1034" customWidth="1"/>
    <col min="15067" max="15067" width="3" style="1034" bestFit="1" customWidth="1"/>
    <col min="15068" max="15068" width="34.5" style="1034" bestFit="1" customWidth="1"/>
    <col min="15069" max="15069" width="20.125" style="1034" bestFit="1" customWidth="1"/>
    <col min="15070" max="15080" width="14.625" style="1034" customWidth="1"/>
    <col min="15081" max="15081" width="10.125" style="1034" customWidth="1"/>
    <col min="15082" max="15082" width="5.625" style="1034" customWidth="1"/>
    <col min="15083" max="15083" width="19.75" style="1034" customWidth="1"/>
    <col min="15084" max="15084" width="5.625" style="1034" customWidth="1"/>
    <col min="15085" max="15107" width="10" style="1034" customWidth="1"/>
    <col min="15108" max="15109" width="9" style="1034"/>
    <col min="15110" max="15113" width="10.5" style="1034" customWidth="1"/>
    <col min="15114" max="15318" width="9" style="1034"/>
    <col min="15319" max="15319" width="14.125" style="1034" customWidth="1"/>
    <col min="15320" max="15320" width="11.375" style="1034" customWidth="1"/>
    <col min="15321" max="15322" width="1.875" style="1034" customWidth="1"/>
    <col min="15323" max="15323" width="3" style="1034" bestFit="1" customWidth="1"/>
    <col min="15324" max="15324" width="34.5" style="1034" bestFit="1" customWidth="1"/>
    <col min="15325" max="15325" width="20.125" style="1034" bestFit="1" customWidth="1"/>
    <col min="15326" max="15336" width="14.625" style="1034" customWidth="1"/>
    <col min="15337" max="15337" width="10.125" style="1034" customWidth="1"/>
    <col min="15338" max="15338" width="5.625" style="1034" customWidth="1"/>
    <col min="15339" max="15339" width="19.75" style="1034" customWidth="1"/>
    <col min="15340" max="15340" width="5.625" style="1034" customWidth="1"/>
    <col min="15341" max="15363" width="10" style="1034" customWidth="1"/>
    <col min="15364" max="15365" width="9" style="1034"/>
    <col min="15366" max="15369" width="10.5" style="1034" customWidth="1"/>
    <col min="15370" max="15574" width="9" style="1034"/>
    <col min="15575" max="15575" width="14.125" style="1034" customWidth="1"/>
    <col min="15576" max="15576" width="11.375" style="1034" customWidth="1"/>
    <col min="15577" max="15578" width="1.875" style="1034" customWidth="1"/>
    <col min="15579" max="15579" width="3" style="1034" bestFit="1" customWidth="1"/>
    <col min="15580" max="15580" width="34.5" style="1034" bestFit="1" customWidth="1"/>
    <col min="15581" max="15581" width="20.125" style="1034" bestFit="1" customWidth="1"/>
    <col min="15582" max="15592" width="14.625" style="1034" customWidth="1"/>
    <col min="15593" max="15593" width="10.125" style="1034" customWidth="1"/>
    <col min="15594" max="15594" width="5.625" style="1034" customWidth="1"/>
    <col min="15595" max="15595" width="19.75" style="1034" customWidth="1"/>
    <col min="15596" max="15596" width="5.625" style="1034" customWidth="1"/>
    <col min="15597" max="15619" width="10" style="1034" customWidth="1"/>
    <col min="15620" max="15621" width="9" style="1034"/>
    <col min="15622" max="15625" width="10.5" style="1034" customWidth="1"/>
    <col min="15626" max="15830" width="9" style="1034"/>
    <col min="15831" max="15831" width="14.125" style="1034" customWidth="1"/>
    <col min="15832" max="15832" width="11.375" style="1034" customWidth="1"/>
    <col min="15833" max="15834" width="1.875" style="1034" customWidth="1"/>
    <col min="15835" max="15835" width="3" style="1034" bestFit="1" customWidth="1"/>
    <col min="15836" max="15836" width="34.5" style="1034" bestFit="1" customWidth="1"/>
    <col min="15837" max="15837" width="20.125" style="1034" bestFit="1" customWidth="1"/>
    <col min="15838" max="15848" width="14.625" style="1034" customWidth="1"/>
    <col min="15849" max="15849" width="10.125" style="1034" customWidth="1"/>
    <col min="15850" max="15850" width="5.625" style="1034" customWidth="1"/>
    <col min="15851" max="15851" width="19.75" style="1034" customWidth="1"/>
    <col min="15852" max="15852" width="5.625" style="1034" customWidth="1"/>
    <col min="15853" max="15875" width="10" style="1034" customWidth="1"/>
    <col min="15876" max="15877" width="9" style="1034"/>
    <col min="15878" max="15881" width="10.5" style="1034" customWidth="1"/>
    <col min="15882" max="16086" width="9" style="1034"/>
    <col min="16087" max="16087" width="14.125" style="1034" customWidth="1"/>
    <col min="16088" max="16088" width="11.375" style="1034" customWidth="1"/>
    <col min="16089" max="16090" width="1.875" style="1034" customWidth="1"/>
    <col min="16091" max="16091" width="3" style="1034" bestFit="1" customWidth="1"/>
    <col min="16092" max="16092" width="34.5" style="1034" bestFit="1" customWidth="1"/>
    <col min="16093" max="16093" width="20.125" style="1034" bestFit="1" customWidth="1"/>
    <col min="16094" max="16104" width="14.625" style="1034" customWidth="1"/>
    <col min="16105" max="16105" width="10.125" style="1034" customWidth="1"/>
    <col min="16106" max="16106" width="5.625" style="1034" customWidth="1"/>
    <col min="16107" max="16107" width="19.75" style="1034" customWidth="1"/>
    <col min="16108" max="16108" width="5.625" style="1034" customWidth="1"/>
    <col min="16109" max="16131" width="10" style="1034" customWidth="1"/>
    <col min="16132" max="16133" width="9" style="1034"/>
    <col min="16134" max="16137" width="10.5" style="1034" customWidth="1"/>
    <col min="16138" max="16384" width="9" style="1034"/>
  </cols>
  <sheetData>
    <row r="1" spans="2:38" s="1151" customFormat="1" ht="14.25" thickBot="1">
      <c r="J1" s="1065"/>
      <c r="K1" s="1065"/>
      <c r="L1" s="1065"/>
      <c r="M1" s="1065"/>
      <c r="N1" s="1065"/>
      <c r="O1" s="1066"/>
      <c r="P1" s="1066"/>
      <c r="Q1" s="1066"/>
      <c r="R1" s="1066"/>
      <c r="S1" s="1066"/>
      <c r="T1" s="1066"/>
      <c r="U1" s="1066"/>
      <c r="V1" s="1066"/>
      <c r="W1" s="1066"/>
      <c r="AE1" s="1487"/>
    </row>
    <row r="2" spans="2:38" ht="30" customHeight="1" thickBot="1">
      <c r="B2" s="1062" t="s">
        <v>1171</v>
      </c>
      <c r="C2" s="1063" t="s">
        <v>1172</v>
      </c>
      <c r="D2" s="1242"/>
      <c r="E2" s="1242"/>
      <c r="F2" s="1242"/>
      <c r="J2" s="1154" t="s">
        <v>1550</v>
      </c>
      <c r="K2" s="1154" t="s">
        <v>653</v>
      </c>
      <c r="L2" s="1154" t="s">
        <v>1551</v>
      </c>
      <c r="M2" s="1156" t="s">
        <v>1552</v>
      </c>
      <c r="N2" s="1153" t="s">
        <v>1553</v>
      </c>
      <c r="O2" s="1152" t="s">
        <v>1554</v>
      </c>
      <c r="P2" s="1155" t="s">
        <v>1175</v>
      </c>
      <c r="Q2" s="1155"/>
      <c r="R2" s="1233"/>
      <c r="S2" s="1234"/>
      <c r="T2" s="1234"/>
      <c r="U2" s="1234"/>
      <c r="V2" s="1234"/>
      <c r="W2" s="1234"/>
      <c r="X2" s="1234"/>
      <c r="Y2" s="1234"/>
      <c r="Z2" s="1234"/>
      <c r="AA2" s="1234"/>
      <c r="AB2" s="1235" t="s">
        <v>1555</v>
      </c>
      <c r="AC2" s="1236"/>
      <c r="AD2" s="1236"/>
      <c r="AE2" s="1236"/>
      <c r="AF2" s="1236"/>
      <c r="AG2" s="1236"/>
      <c r="AH2" s="1236"/>
      <c r="AI2" s="1236"/>
      <c r="AJ2" s="1236"/>
      <c r="AK2" s="1236"/>
      <c r="AL2" s="1237"/>
    </row>
    <row r="3" spans="2:38" ht="18" customHeight="1">
      <c r="B3" s="1062" t="s">
        <v>486</v>
      </c>
      <c r="C3" s="1063" t="str">
        <f>IF(チェック!C4="","",チェック!C4)</f>
        <v/>
      </c>
      <c r="D3" s="1242"/>
      <c r="E3" s="1242"/>
      <c r="F3" s="1242"/>
      <c r="J3" s="1199"/>
      <c r="K3" s="1199"/>
      <c r="L3" s="1199"/>
      <c r="M3" s="1200"/>
      <c r="N3" s="1201"/>
      <c r="O3" s="1202"/>
      <c r="P3" s="1309" t="s">
        <v>1647</v>
      </c>
      <c r="Q3" s="1310"/>
      <c r="R3" s="1310"/>
      <c r="S3" s="1208" t="s">
        <v>1556</v>
      </c>
      <c r="T3" s="1208"/>
      <c r="U3" s="1208"/>
      <c r="V3" s="1208"/>
      <c r="W3" s="1208"/>
      <c r="X3" s="1208"/>
      <c r="Y3" s="1208"/>
      <c r="Z3" s="1208" t="s">
        <v>1557</v>
      </c>
      <c r="AA3" s="1208"/>
      <c r="AB3" s="1214" t="s">
        <v>1558</v>
      </c>
      <c r="AC3" s="1215"/>
      <c r="AD3" s="1215"/>
      <c r="AE3" s="1208"/>
      <c r="AF3" s="1209"/>
      <c r="AG3" s="1214" t="s">
        <v>1559</v>
      </c>
      <c r="AH3" s="1215"/>
      <c r="AI3" s="1215"/>
      <c r="AJ3" s="1215"/>
      <c r="AK3" s="1209"/>
      <c r="AL3" s="1266" t="s">
        <v>1179</v>
      </c>
    </row>
    <row r="4" spans="2:38" ht="18" customHeight="1" thickBot="1">
      <c r="B4" s="1067" t="s">
        <v>1174</v>
      </c>
      <c r="C4" s="1068">
        <v>2017</v>
      </c>
      <c r="D4" s="1243"/>
      <c r="E4" s="1264"/>
      <c r="F4" s="1264"/>
      <c r="G4" s="1148"/>
      <c r="J4" s="1203"/>
      <c r="K4" s="1203"/>
      <c r="L4" s="1204"/>
      <c r="M4" s="1205"/>
      <c r="N4" s="1206"/>
      <c r="O4" s="1207"/>
      <c r="P4" s="1311" t="s">
        <v>1782</v>
      </c>
      <c r="Q4" s="1312" t="s">
        <v>1783</v>
      </c>
      <c r="R4" s="1312" t="s">
        <v>1784</v>
      </c>
      <c r="S4" s="1210" t="s">
        <v>1560</v>
      </c>
      <c r="T4" s="1210" t="s">
        <v>1561</v>
      </c>
      <c r="U4" s="1210" t="s">
        <v>1562</v>
      </c>
      <c r="V4" s="1210" t="s">
        <v>1563</v>
      </c>
      <c r="W4" s="1210" t="s">
        <v>1564</v>
      </c>
      <c r="X4" s="1210" t="s">
        <v>1565</v>
      </c>
      <c r="Y4" s="1210" t="s">
        <v>1566</v>
      </c>
      <c r="Z4" s="1210" t="s">
        <v>1567</v>
      </c>
      <c r="AA4" s="1210" t="s">
        <v>1568</v>
      </c>
      <c r="AB4" s="1212" t="s">
        <v>1785</v>
      </c>
      <c r="AC4" s="1213" t="s">
        <v>1786</v>
      </c>
      <c r="AD4" s="1213" t="s">
        <v>1787</v>
      </c>
      <c r="AE4" s="1211" t="s">
        <v>1794</v>
      </c>
      <c r="AF4" s="1211" t="s">
        <v>1795</v>
      </c>
      <c r="AG4" s="1212" t="s">
        <v>1571</v>
      </c>
      <c r="AH4" s="1213" t="s">
        <v>1572</v>
      </c>
      <c r="AI4" s="1213" t="s">
        <v>1176</v>
      </c>
      <c r="AJ4" s="1213" t="s">
        <v>1569</v>
      </c>
      <c r="AK4" s="1211" t="s">
        <v>1570</v>
      </c>
      <c r="AL4" s="1216"/>
    </row>
    <row r="5" spans="2:38" ht="22.5" customHeight="1">
      <c r="B5" s="581"/>
      <c r="C5" s="581"/>
      <c r="D5" s="97"/>
      <c r="E5" s="97"/>
      <c r="F5" s="97"/>
      <c r="G5" s="1069"/>
      <c r="H5" s="1070"/>
      <c r="I5" s="1070"/>
      <c r="J5" s="1188">
        <v>1</v>
      </c>
      <c r="K5" s="1157" t="s">
        <v>1180</v>
      </c>
      <c r="L5" s="1195">
        <v>6000</v>
      </c>
      <c r="M5" s="1196">
        <v>1000000</v>
      </c>
      <c r="N5" s="1197">
        <v>238.6</v>
      </c>
      <c r="O5" s="1198">
        <v>-0.1888</v>
      </c>
      <c r="P5" s="1217"/>
      <c r="Q5" s="1217"/>
      <c r="R5" s="1218"/>
      <c r="S5" s="1219">
        <v>0.95</v>
      </c>
      <c r="T5" s="1219">
        <v>0.95</v>
      </c>
      <c r="U5" s="1219">
        <v>0.95</v>
      </c>
      <c r="V5" s="1219">
        <v>0.9</v>
      </c>
      <c r="W5" s="1219">
        <v>0.9</v>
      </c>
      <c r="X5" s="1219">
        <v>0.9</v>
      </c>
      <c r="Y5" s="1219">
        <v>0.85</v>
      </c>
      <c r="Z5" s="1219"/>
      <c r="AA5" s="1219"/>
      <c r="AB5" s="1220">
        <v>1.3</v>
      </c>
      <c r="AC5" s="1219">
        <v>1.2</v>
      </c>
      <c r="AD5" s="1219">
        <v>1.2</v>
      </c>
      <c r="AE5" s="1219">
        <v>1.3</v>
      </c>
      <c r="AF5" s="1219">
        <v>0</v>
      </c>
      <c r="AG5" s="1220"/>
      <c r="AH5" s="1219"/>
      <c r="AI5" s="1219"/>
      <c r="AJ5" s="1219"/>
      <c r="AK5" s="1219"/>
      <c r="AL5" s="1238"/>
    </row>
    <row r="6" spans="2:38" ht="20.25" customHeight="1">
      <c r="B6" s="1064" t="s">
        <v>1173</v>
      </c>
      <c r="C6" s="1268" t="e">
        <f>IF(AND(C17="1：国土交通省(建設)",D21&gt;=1.3),C34*B30,C35*B30)</f>
        <v>#N/A</v>
      </c>
      <c r="D6" s="1071"/>
      <c r="E6" s="1071"/>
      <c r="F6" s="1071"/>
      <c r="G6" s="1071"/>
      <c r="H6" s="1033"/>
      <c r="I6" s="1148"/>
      <c r="J6" s="1313">
        <v>1</v>
      </c>
      <c r="K6" s="1314" t="s">
        <v>1181</v>
      </c>
      <c r="L6" s="1315">
        <v>6000</v>
      </c>
      <c r="M6" s="1316">
        <v>1000000</v>
      </c>
      <c r="N6" s="1325">
        <v>1228.3</v>
      </c>
      <c r="O6" s="1326">
        <v>-0.26140000000000002</v>
      </c>
      <c r="P6" s="1319"/>
      <c r="Q6" s="1319"/>
      <c r="R6" s="1320"/>
      <c r="S6" s="1321">
        <v>0.95</v>
      </c>
      <c r="T6" s="1321">
        <v>0.95</v>
      </c>
      <c r="U6" s="1321">
        <v>0.95</v>
      </c>
      <c r="V6" s="1321">
        <v>0.9</v>
      </c>
      <c r="W6" s="1321">
        <v>0.9</v>
      </c>
      <c r="X6" s="1321">
        <v>0.9</v>
      </c>
      <c r="Y6" s="1321">
        <v>0.85</v>
      </c>
      <c r="Z6" s="1321"/>
      <c r="AA6" s="1321"/>
      <c r="AB6" s="1322">
        <v>1.3</v>
      </c>
      <c r="AC6" s="1321">
        <v>1.2</v>
      </c>
      <c r="AD6" s="1321">
        <v>1.2</v>
      </c>
      <c r="AE6" s="1321">
        <v>1.3</v>
      </c>
      <c r="AF6" s="1321">
        <v>0</v>
      </c>
      <c r="AG6" s="1322"/>
      <c r="AH6" s="1321"/>
      <c r="AI6" s="1321"/>
      <c r="AJ6" s="1321"/>
      <c r="AK6" s="1321"/>
      <c r="AL6" s="1323"/>
    </row>
    <row r="7" spans="2:38" ht="20.25" customHeight="1">
      <c r="B7" s="1276"/>
      <c r="C7" s="1277"/>
      <c r="D7" s="1071"/>
      <c r="E7" s="1071"/>
      <c r="F7" s="1071"/>
      <c r="H7" s="1150"/>
      <c r="I7" s="1150"/>
      <c r="J7" s="1313">
        <v>1</v>
      </c>
      <c r="K7" s="1314" t="s">
        <v>1182</v>
      </c>
      <c r="L7" s="1315">
        <v>6000</v>
      </c>
      <c r="M7" s="1316">
        <v>1000000</v>
      </c>
      <c r="N7" s="1317">
        <v>407.9</v>
      </c>
      <c r="O7" s="1318">
        <v>-0.22040000000000001</v>
      </c>
      <c r="P7" s="1319"/>
      <c r="Q7" s="1319"/>
      <c r="R7" s="1320"/>
      <c r="S7" s="1321">
        <v>0.95</v>
      </c>
      <c r="T7" s="1321">
        <v>0.95</v>
      </c>
      <c r="U7" s="1321">
        <v>0.95</v>
      </c>
      <c r="V7" s="1321">
        <v>0.9</v>
      </c>
      <c r="W7" s="1321">
        <v>0.9</v>
      </c>
      <c r="X7" s="1321">
        <v>0.9</v>
      </c>
      <c r="Y7" s="1321">
        <v>0.85</v>
      </c>
      <c r="Z7" s="1321"/>
      <c r="AA7" s="1321"/>
      <c r="AB7" s="1322">
        <v>1.3</v>
      </c>
      <c r="AC7" s="1321">
        <v>1.2</v>
      </c>
      <c r="AD7" s="1321">
        <v>1.2</v>
      </c>
      <c r="AE7" s="1321">
        <v>1.3</v>
      </c>
      <c r="AF7" s="1321">
        <v>0</v>
      </c>
      <c r="AG7" s="1322"/>
      <c r="AH7" s="1321"/>
      <c r="AI7" s="1321"/>
      <c r="AJ7" s="1321"/>
      <c r="AK7" s="1321"/>
      <c r="AL7" s="1323"/>
    </row>
    <row r="8" spans="2:38" ht="20.25" customHeight="1">
      <c r="B8" s="1278" t="s">
        <v>1638</v>
      </c>
      <c r="E8" s="1071"/>
      <c r="F8" s="1071"/>
      <c r="G8" s="1071"/>
      <c r="H8" s="1150"/>
      <c r="I8" s="1150"/>
      <c r="J8" s="1313">
        <v>1</v>
      </c>
      <c r="K8" s="1314" t="s">
        <v>1183</v>
      </c>
      <c r="L8" s="1315">
        <v>6000</v>
      </c>
      <c r="M8" s="1316">
        <v>1000000</v>
      </c>
      <c r="N8" s="1317">
        <v>57</v>
      </c>
      <c r="O8" s="1318">
        <v>-9.5799999999999996E-2</v>
      </c>
      <c r="P8" s="1319"/>
      <c r="Q8" s="1319"/>
      <c r="R8" s="1320"/>
      <c r="S8" s="1321">
        <v>0.95</v>
      </c>
      <c r="T8" s="1321">
        <v>0.95</v>
      </c>
      <c r="U8" s="1321">
        <v>0.95</v>
      </c>
      <c r="V8" s="1321">
        <v>0.9</v>
      </c>
      <c r="W8" s="1321">
        <v>0.9</v>
      </c>
      <c r="X8" s="1321">
        <v>0.9</v>
      </c>
      <c r="Y8" s="1321">
        <v>0.85</v>
      </c>
      <c r="Z8" s="1321"/>
      <c r="AA8" s="1321"/>
      <c r="AB8" s="1322">
        <v>1.3</v>
      </c>
      <c r="AC8" s="1321">
        <v>1.2</v>
      </c>
      <c r="AD8" s="1321">
        <v>1.2</v>
      </c>
      <c r="AE8" s="1321">
        <v>1.3</v>
      </c>
      <c r="AF8" s="1321">
        <v>0</v>
      </c>
      <c r="AG8" s="1322"/>
      <c r="AH8" s="1321"/>
      <c r="AI8" s="1321"/>
      <c r="AJ8" s="1321"/>
      <c r="AK8" s="1321"/>
      <c r="AL8" s="1323"/>
    </row>
    <row r="9" spans="2:38" ht="20.25" customHeight="1">
      <c r="B9" s="1283" t="e">
        <f>IF(AND(D21&lt;1.3,D26=0,D23=1),"○","")</f>
        <v>#N/A</v>
      </c>
      <c r="C9" s="1283" t="str">
        <f>IF(C$25="無し","A-1",IF(C$25="有り","B-1","復興補正未入力"))</f>
        <v>復興補正未入力</v>
      </c>
      <c r="F9" s="1071"/>
      <c r="G9" s="1071"/>
      <c r="H9" s="1150"/>
      <c r="I9" s="1150"/>
      <c r="J9" s="1313">
        <v>1</v>
      </c>
      <c r="K9" s="1314" t="s">
        <v>1184</v>
      </c>
      <c r="L9" s="1315">
        <v>6000</v>
      </c>
      <c r="M9" s="1316">
        <v>1000000</v>
      </c>
      <c r="N9" s="1325">
        <v>10668.4</v>
      </c>
      <c r="O9" s="1326">
        <v>-0.36059999999999998</v>
      </c>
      <c r="P9" s="1319"/>
      <c r="Q9" s="1319">
        <v>1.5</v>
      </c>
      <c r="R9" s="1320">
        <v>1.3</v>
      </c>
      <c r="S9" s="1321">
        <v>0.95</v>
      </c>
      <c r="T9" s="1321">
        <v>0.95</v>
      </c>
      <c r="U9" s="1321">
        <v>0.95</v>
      </c>
      <c r="V9" s="1321">
        <v>0.9</v>
      </c>
      <c r="W9" s="1321">
        <v>0.9</v>
      </c>
      <c r="X9" s="1321">
        <v>0.9</v>
      </c>
      <c r="Y9" s="1321">
        <v>0.85</v>
      </c>
      <c r="Z9" s="1321"/>
      <c r="AA9" s="1321"/>
      <c r="AB9" s="1322">
        <v>1.3</v>
      </c>
      <c r="AC9" s="1321">
        <v>1.2</v>
      </c>
      <c r="AD9" s="1321">
        <v>1.2</v>
      </c>
      <c r="AE9" s="1321">
        <v>1.3</v>
      </c>
      <c r="AF9" s="1321">
        <v>0</v>
      </c>
      <c r="AG9" s="1322"/>
      <c r="AH9" s="1321"/>
      <c r="AI9" s="1321"/>
      <c r="AJ9" s="1321"/>
      <c r="AK9" s="1321"/>
      <c r="AL9" s="1323"/>
    </row>
    <row r="10" spans="2:38" ht="20.25" customHeight="1">
      <c r="B10" s="1284" t="str">
        <f>IF(AND(D21&lt;1.3,D26&gt;0),"○","")</f>
        <v/>
      </c>
      <c r="C10" s="1283" t="str">
        <f>IF(C$25="無し","A-2",IF(C$25="有り","B-2","復興補正未入力"))</f>
        <v>復興補正未入力</v>
      </c>
      <c r="F10" s="1071"/>
      <c r="G10" s="1071"/>
      <c r="H10" s="1150"/>
      <c r="I10" s="1150"/>
      <c r="J10" s="1313">
        <v>1</v>
      </c>
      <c r="K10" s="1314" t="s">
        <v>1573</v>
      </c>
      <c r="L10" s="1315">
        <v>6000</v>
      </c>
      <c r="M10" s="1316">
        <v>1000000</v>
      </c>
      <c r="N10" s="1317">
        <v>1636.8</v>
      </c>
      <c r="O10" s="1318">
        <v>-0.26290000000000002</v>
      </c>
      <c r="P10" s="1319"/>
      <c r="Q10" s="1319"/>
      <c r="R10" s="1320"/>
      <c r="S10" s="1321">
        <v>0.95</v>
      </c>
      <c r="T10" s="1321">
        <v>0.95</v>
      </c>
      <c r="U10" s="1321">
        <v>0.95</v>
      </c>
      <c r="V10" s="1321">
        <v>0.9</v>
      </c>
      <c r="W10" s="1321">
        <v>0.9</v>
      </c>
      <c r="X10" s="1321">
        <v>0.9</v>
      </c>
      <c r="Y10" s="1321">
        <v>0.85</v>
      </c>
      <c r="Z10" s="1321"/>
      <c r="AA10" s="1321"/>
      <c r="AB10" s="1322">
        <v>1.3</v>
      </c>
      <c r="AC10" s="1321">
        <v>1.2</v>
      </c>
      <c r="AD10" s="1321">
        <v>1.2</v>
      </c>
      <c r="AE10" s="1321">
        <v>1.3</v>
      </c>
      <c r="AF10" s="1321">
        <v>0</v>
      </c>
      <c r="AG10" s="1322"/>
      <c r="AH10" s="1321"/>
      <c r="AI10" s="1321"/>
      <c r="AJ10" s="1321"/>
      <c r="AK10" s="1321"/>
      <c r="AL10" s="1323"/>
    </row>
    <row r="11" spans="2:38" ht="20.25" customHeight="1">
      <c r="B11" s="1285" t="e">
        <f>IF(AND(D21&lt;1.3,D23&lt;1),"○","")</f>
        <v>#N/A</v>
      </c>
      <c r="C11" s="1283" t="str">
        <f>IF(C$25="無し","A-3",IF(C$25="有り","B-3","復興補正未入力"))</f>
        <v>復興補正未入力</v>
      </c>
      <c r="F11" s="1071"/>
      <c r="G11" s="1071"/>
      <c r="H11" s="1150"/>
      <c r="I11" s="1150"/>
      <c r="J11" s="1313">
        <v>1</v>
      </c>
      <c r="K11" s="1314" t="s">
        <v>1601</v>
      </c>
      <c r="L11" s="1315">
        <v>6000</v>
      </c>
      <c r="M11" s="1316">
        <v>1000000</v>
      </c>
      <c r="N11" s="1317">
        <v>435.1</v>
      </c>
      <c r="O11" s="1318">
        <v>-0.2074</v>
      </c>
      <c r="P11" s="1319">
        <v>2</v>
      </c>
      <c r="Q11" s="1319">
        <v>1.5</v>
      </c>
      <c r="R11" s="1320">
        <v>1.3</v>
      </c>
      <c r="S11" s="1321">
        <v>0.95</v>
      </c>
      <c r="T11" s="1321">
        <v>0.95</v>
      </c>
      <c r="U11" s="1321">
        <v>0.95</v>
      </c>
      <c r="V11" s="1321">
        <v>0.9</v>
      </c>
      <c r="W11" s="1321">
        <v>0.9</v>
      </c>
      <c r="X11" s="1321">
        <v>0.9</v>
      </c>
      <c r="Y11" s="1321">
        <v>0.85</v>
      </c>
      <c r="Z11" s="1321"/>
      <c r="AA11" s="1321"/>
      <c r="AB11" s="1322">
        <v>1.3</v>
      </c>
      <c r="AC11" s="1321">
        <v>1.2</v>
      </c>
      <c r="AD11" s="1321">
        <v>1.2</v>
      </c>
      <c r="AE11" s="1321">
        <v>1.3</v>
      </c>
      <c r="AF11" s="1321">
        <v>0</v>
      </c>
      <c r="AG11" s="1322"/>
      <c r="AH11" s="1321"/>
      <c r="AI11" s="1321"/>
      <c r="AJ11" s="1321"/>
      <c r="AK11" s="1321"/>
      <c r="AL11" s="1323"/>
    </row>
    <row r="12" spans="2:38" ht="20.25" customHeight="1">
      <c r="B12" s="1285" t="e">
        <f>IF(AND(D21&gt;=1.3,D23=1),"○","")</f>
        <v>#N/A</v>
      </c>
      <c r="C12" s="1283" t="str">
        <f>IF(C$25="無し","A-4",IF(C$25="有り","B-4","復興補正未入力"))</f>
        <v>復興補正未入力</v>
      </c>
      <c r="F12" s="1071"/>
      <c r="G12" s="1071"/>
      <c r="H12" s="1150"/>
      <c r="I12" s="1150"/>
      <c r="J12" s="1313">
        <v>1</v>
      </c>
      <c r="K12" s="1314" t="s">
        <v>1648</v>
      </c>
      <c r="L12" s="1315">
        <v>6000</v>
      </c>
      <c r="M12" s="1316">
        <v>1000000</v>
      </c>
      <c r="N12" s="1317">
        <v>435.1</v>
      </c>
      <c r="O12" s="1318">
        <v>-0.2074</v>
      </c>
      <c r="P12" s="1319">
        <v>2</v>
      </c>
      <c r="Q12" s="1319">
        <v>1.5</v>
      </c>
      <c r="R12" s="1320">
        <v>1.3</v>
      </c>
      <c r="S12" s="1321">
        <v>0.95</v>
      </c>
      <c r="T12" s="1321">
        <v>0.95</v>
      </c>
      <c r="U12" s="1321">
        <v>0.95</v>
      </c>
      <c r="V12" s="1321">
        <v>0.9</v>
      </c>
      <c r="W12" s="1321">
        <v>0.9</v>
      </c>
      <c r="X12" s="1321">
        <v>0.9</v>
      </c>
      <c r="Y12" s="1321">
        <v>0.85</v>
      </c>
      <c r="Z12" s="1321"/>
      <c r="AA12" s="1321"/>
      <c r="AB12" s="1322">
        <v>1.3</v>
      </c>
      <c r="AC12" s="1321">
        <v>1.2</v>
      </c>
      <c r="AD12" s="1321">
        <v>1.2</v>
      </c>
      <c r="AE12" s="1321">
        <v>1.3</v>
      </c>
      <c r="AF12" s="1321">
        <v>0</v>
      </c>
      <c r="AG12" s="1322"/>
      <c r="AH12" s="1321"/>
      <c r="AI12" s="1321"/>
      <c r="AJ12" s="1321"/>
      <c r="AK12" s="1321"/>
      <c r="AL12" s="1323"/>
    </row>
    <row r="13" spans="2:38" ht="20.25" customHeight="1">
      <c r="B13" s="1285" t="e">
        <f>IF(AND(D21&gt;=1.3,D23&lt;1),"○","")</f>
        <v>#N/A</v>
      </c>
      <c r="C13" s="1283" t="str">
        <f>IF(C$25="無し","A-5",IF(C$25="有り","B-5","復興補正未入力"))</f>
        <v>復興補正未入力</v>
      </c>
      <c r="F13" s="1071"/>
      <c r="G13" s="1071"/>
      <c r="H13" s="1150"/>
      <c r="I13" s="1150"/>
      <c r="J13" s="1313">
        <v>1</v>
      </c>
      <c r="K13" s="1314" t="s">
        <v>1185</v>
      </c>
      <c r="L13" s="1315">
        <v>6000</v>
      </c>
      <c r="M13" s="1316">
        <v>1000000</v>
      </c>
      <c r="N13" s="1317">
        <v>624.5</v>
      </c>
      <c r="O13" s="1318">
        <v>-0.23810000000000001</v>
      </c>
      <c r="P13" s="1319"/>
      <c r="Q13" s="1319"/>
      <c r="R13" s="1320"/>
      <c r="S13" s="1321">
        <v>0.95</v>
      </c>
      <c r="T13" s="1321">
        <v>0.95</v>
      </c>
      <c r="U13" s="1321">
        <v>0.95</v>
      </c>
      <c r="V13" s="1321">
        <v>0.9</v>
      </c>
      <c r="W13" s="1321">
        <v>0.9</v>
      </c>
      <c r="X13" s="1321">
        <v>0.9</v>
      </c>
      <c r="Y13" s="1321">
        <v>0.85</v>
      </c>
      <c r="Z13" s="1321"/>
      <c r="AA13" s="1321"/>
      <c r="AB13" s="1322">
        <v>1.3</v>
      </c>
      <c r="AC13" s="1321">
        <v>1.2</v>
      </c>
      <c r="AD13" s="1321">
        <v>1.2</v>
      </c>
      <c r="AE13" s="1321">
        <v>1.3</v>
      </c>
      <c r="AF13" s="1321">
        <v>0</v>
      </c>
      <c r="AG13" s="1322"/>
      <c r="AH13" s="1321"/>
      <c r="AI13" s="1321"/>
      <c r="AJ13" s="1321"/>
      <c r="AK13" s="1321"/>
      <c r="AL13" s="1323"/>
    </row>
    <row r="14" spans="2:38" ht="20.25" customHeight="1">
      <c r="B14" s="1285" t="str">
        <f>IF(D24&lt;1,"○","")</f>
        <v/>
      </c>
      <c r="C14" s="1283" t="str">
        <f>IF(C$25="無し","A-6",IF(C$25="有り","","復興補正未入力"))</f>
        <v>復興補正未入力</v>
      </c>
      <c r="I14" s="1150"/>
      <c r="J14" s="1313">
        <v>1</v>
      </c>
      <c r="K14" s="1314" t="s">
        <v>1186</v>
      </c>
      <c r="L14" s="1315">
        <v>6000</v>
      </c>
      <c r="M14" s="1316">
        <v>1000000</v>
      </c>
      <c r="N14" s="1317">
        <v>48</v>
      </c>
      <c r="O14" s="1318">
        <v>-9.5600000000000004E-2</v>
      </c>
      <c r="P14" s="1319"/>
      <c r="Q14" s="1319"/>
      <c r="R14" s="1320"/>
      <c r="S14" s="1321">
        <v>0.95</v>
      </c>
      <c r="T14" s="1321">
        <v>0.95</v>
      </c>
      <c r="U14" s="1321">
        <v>0.95</v>
      </c>
      <c r="V14" s="1321">
        <v>0.9</v>
      </c>
      <c r="W14" s="1321">
        <v>0.9</v>
      </c>
      <c r="X14" s="1321">
        <v>0.9</v>
      </c>
      <c r="Y14" s="1321">
        <v>0.85</v>
      </c>
      <c r="Z14" s="1321"/>
      <c r="AA14" s="1321"/>
      <c r="AB14" s="1322">
        <v>1.3</v>
      </c>
      <c r="AC14" s="1321">
        <v>1.2</v>
      </c>
      <c r="AD14" s="1321">
        <v>1.2</v>
      </c>
      <c r="AE14" s="1321">
        <v>1.3</v>
      </c>
      <c r="AF14" s="1321">
        <v>0</v>
      </c>
      <c r="AG14" s="1322"/>
      <c r="AH14" s="1321"/>
      <c r="AI14" s="1321"/>
      <c r="AJ14" s="1321"/>
      <c r="AK14" s="1321"/>
      <c r="AL14" s="1323"/>
    </row>
    <row r="15" spans="2:38" ht="20.25" customHeight="1">
      <c r="B15" s="1245"/>
      <c r="C15" s="1244"/>
      <c r="D15" s="1244"/>
      <c r="I15" s="1148"/>
      <c r="J15" s="1313">
        <v>1</v>
      </c>
      <c r="K15" s="1314" t="s">
        <v>1187</v>
      </c>
      <c r="L15" s="1315">
        <v>6000</v>
      </c>
      <c r="M15" s="1316">
        <v>1000000</v>
      </c>
      <c r="N15" s="1317">
        <v>40</v>
      </c>
      <c r="O15" s="1318">
        <v>-8.9099999999999999E-2</v>
      </c>
      <c r="P15" s="1319">
        <v>2</v>
      </c>
      <c r="Q15" s="1319">
        <v>1.5</v>
      </c>
      <c r="R15" s="1320">
        <v>1.3</v>
      </c>
      <c r="S15" s="1321">
        <v>0.95</v>
      </c>
      <c r="T15" s="1321">
        <v>0.95</v>
      </c>
      <c r="U15" s="1321">
        <v>0.95</v>
      </c>
      <c r="V15" s="1321">
        <v>0.9</v>
      </c>
      <c r="W15" s="1321">
        <v>0.9</v>
      </c>
      <c r="X15" s="1321">
        <v>0.9</v>
      </c>
      <c r="Y15" s="1321">
        <v>0.85</v>
      </c>
      <c r="Z15" s="1321"/>
      <c r="AA15" s="1321"/>
      <c r="AB15" s="1322"/>
      <c r="AC15" s="1321"/>
      <c r="AD15" s="1321"/>
      <c r="AE15" s="1321"/>
      <c r="AF15" s="1395">
        <v>0</v>
      </c>
      <c r="AG15" s="1322"/>
      <c r="AH15" s="1321"/>
      <c r="AI15" s="1321"/>
      <c r="AJ15" s="1321"/>
      <c r="AK15" s="1321"/>
      <c r="AL15" s="1323"/>
    </row>
    <row r="16" spans="2:38" ht="20.25" customHeight="1">
      <c r="B16" s="1258" t="s">
        <v>1606</v>
      </c>
      <c r="C16" s="1258"/>
      <c r="D16" s="1259"/>
      <c r="I16" s="1148"/>
      <c r="J16" s="1313">
        <v>1</v>
      </c>
      <c r="K16" s="1314" t="s">
        <v>1188</v>
      </c>
      <c r="L16" s="1315">
        <v>6000</v>
      </c>
      <c r="M16" s="1316">
        <v>1000000</v>
      </c>
      <c r="N16" s="1317">
        <v>494.9</v>
      </c>
      <c r="O16" s="1318">
        <v>-0.20910000000000001</v>
      </c>
      <c r="P16" s="1319"/>
      <c r="Q16" s="1319"/>
      <c r="R16" s="1320"/>
      <c r="S16" s="1321">
        <v>0.95</v>
      </c>
      <c r="T16" s="1321">
        <v>0.95</v>
      </c>
      <c r="U16" s="1321">
        <v>0.95</v>
      </c>
      <c r="V16" s="1321">
        <v>0.9</v>
      </c>
      <c r="W16" s="1321">
        <v>0.9</v>
      </c>
      <c r="X16" s="1321">
        <v>0.9</v>
      </c>
      <c r="Y16" s="1321">
        <v>0.85</v>
      </c>
      <c r="Z16" s="1321"/>
      <c r="AA16" s="1321"/>
      <c r="AB16" s="1322">
        <v>1.3</v>
      </c>
      <c r="AC16" s="1321">
        <v>1.2</v>
      </c>
      <c r="AD16" s="1321">
        <v>1.2</v>
      </c>
      <c r="AE16" s="1321">
        <v>1.3</v>
      </c>
      <c r="AF16" s="1321">
        <v>0</v>
      </c>
      <c r="AG16" s="1322"/>
      <c r="AH16" s="1321"/>
      <c r="AI16" s="1321"/>
      <c r="AJ16" s="1321"/>
      <c r="AK16" s="1321"/>
      <c r="AL16" s="1323"/>
    </row>
    <row r="17" spans="2:38" ht="20.25" customHeight="1">
      <c r="B17" s="1256" t="s">
        <v>1598</v>
      </c>
      <c r="C17" s="1257">
        <f>工事情報!G5</f>
        <v>0</v>
      </c>
      <c r="D17" s="1290"/>
      <c r="E17" s="1280"/>
      <c r="I17" s="1148"/>
      <c r="J17" s="1313">
        <v>1</v>
      </c>
      <c r="K17" s="1324" t="s">
        <v>1640</v>
      </c>
      <c r="L17" s="1327">
        <v>6000</v>
      </c>
      <c r="M17" s="1328">
        <v>300000</v>
      </c>
      <c r="N17" s="1325">
        <v>7050.2</v>
      </c>
      <c r="O17" s="1326">
        <v>-0.35580000000000001</v>
      </c>
      <c r="P17" s="1319"/>
      <c r="Q17" s="1319"/>
      <c r="R17" s="1320">
        <v>1.3</v>
      </c>
      <c r="S17" s="1321">
        <v>0.95</v>
      </c>
      <c r="T17" s="1321">
        <v>0.95</v>
      </c>
      <c r="U17" s="1321">
        <v>0.95</v>
      </c>
      <c r="V17" s="1321">
        <v>0.9</v>
      </c>
      <c r="W17" s="1321">
        <v>0.9</v>
      </c>
      <c r="X17" s="1321">
        <v>0.9</v>
      </c>
      <c r="Y17" s="1321">
        <v>0.85</v>
      </c>
      <c r="Z17" s="1321"/>
      <c r="AA17" s="1321"/>
      <c r="AB17" s="1322">
        <v>1.3</v>
      </c>
      <c r="AC17" s="1321">
        <v>1.2</v>
      </c>
      <c r="AD17" s="1321">
        <v>1.2</v>
      </c>
      <c r="AE17" s="1321">
        <v>1.3</v>
      </c>
      <c r="AF17" s="1321">
        <v>0</v>
      </c>
      <c r="AG17" s="1322"/>
      <c r="AH17" s="1321"/>
      <c r="AI17" s="1321"/>
      <c r="AJ17" s="1321"/>
      <c r="AK17" s="1321"/>
      <c r="AL17" s="1323"/>
    </row>
    <row r="18" spans="2:38" ht="20.25" customHeight="1">
      <c r="B18" s="1252" t="s">
        <v>1599</v>
      </c>
      <c r="C18" s="1252" t="str">
        <f>MID(一般事項!F20,5,100)</f>
        <v/>
      </c>
      <c r="D18" s="1291"/>
      <c r="E18" s="1280"/>
      <c r="F18" s="97"/>
      <c r="G18" s="1245"/>
      <c r="I18" s="1148"/>
      <c r="J18" s="1313">
        <v>1</v>
      </c>
      <c r="K18" s="1314" t="s">
        <v>1189</v>
      </c>
      <c r="L18" s="1315">
        <v>2000</v>
      </c>
      <c r="M18" s="1316">
        <v>100000</v>
      </c>
      <c r="N18" s="1325">
        <v>4118.1000000000004</v>
      </c>
      <c r="O18" s="1326">
        <v>-0.3548</v>
      </c>
      <c r="P18" s="1319">
        <v>2</v>
      </c>
      <c r="Q18" s="1319">
        <v>1.5</v>
      </c>
      <c r="R18" s="1320">
        <v>1.3</v>
      </c>
      <c r="S18" s="1321">
        <v>0.95</v>
      </c>
      <c r="T18" s="1321">
        <v>0.95</v>
      </c>
      <c r="U18" s="1321">
        <v>0.95</v>
      </c>
      <c r="V18" s="1321">
        <v>0.9</v>
      </c>
      <c r="W18" s="1321">
        <v>0.9</v>
      </c>
      <c r="X18" s="1321">
        <v>0.9</v>
      </c>
      <c r="Y18" s="1321">
        <v>0.85</v>
      </c>
      <c r="Z18" s="1321"/>
      <c r="AA18" s="1321"/>
      <c r="AB18" s="1322">
        <v>1.3</v>
      </c>
      <c r="AC18" s="1321">
        <v>1.2</v>
      </c>
      <c r="AD18" s="1321">
        <v>1.2</v>
      </c>
      <c r="AE18" s="1321">
        <v>1.3</v>
      </c>
      <c r="AF18" s="1321">
        <v>0</v>
      </c>
      <c r="AG18" s="1322"/>
      <c r="AH18" s="1321"/>
      <c r="AI18" s="1321"/>
      <c r="AJ18" s="1321"/>
      <c r="AK18" s="1321"/>
      <c r="AL18" s="1323"/>
    </row>
    <row r="19" spans="2:38" ht="20.25" customHeight="1">
      <c r="B19" s="1449"/>
      <c r="C19" s="1449"/>
      <c r="D19" s="1450"/>
      <c r="E19" s="1280"/>
      <c r="I19" s="1148"/>
      <c r="J19" s="1313">
        <v>1</v>
      </c>
      <c r="K19" s="1314" t="s">
        <v>1190</v>
      </c>
      <c r="L19" s="1315">
        <v>2000</v>
      </c>
      <c r="M19" s="1316">
        <v>100000</v>
      </c>
      <c r="N19" s="1317">
        <v>26.8</v>
      </c>
      <c r="O19" s="1318">
        <v>-7.4800000000000005E-2</v>
      </c>
      <c r="P19" s="1319"/>
      <c r="Q19" s="1319"/>
      <c r="R19" s="1320"/>
      <c r="S19" s="1321">
        <v>0.95</v>
      </c>
      <c r="T19" s="1321">
        <v>0.95</v>
      </c>
      <c r="U19" s="1321">
        <v>0.95</v>
      </c>
      <c r="V19" s="1321">
        <v>0.9</v>
      </c>
      <c r="W19" s="1321">
        <v>0.9</v>
      </c>
      <c r="X19" s="1321">
        <v>0.9</v>
      </c>
      <c r="Y19" s="1321">
        <v>0.85</v>
      </c>
      <c r="Z19" s="1321"/>
      <c r="AA19" s="1321"/>
      <c r="AB19" s="1322">
        <v>1.3</v>
      </c>
      <c r="AC19" s="1321">
        <v>1.2</v>
      </c>
      <c r="AD19" s="1321">
        <v>1.2</v>
      </c>
      <c r="AE19" s="1321">
        <v>1.3</v>
      </c>
      <c r="AF19" s="1321">
        <v>0</v>
      </c>
      <c r="AG19" s="1322"/>
      <c r="AH19" s="1321"/>
      <c r="AI19" s="1321"/>
      <c r="AJ19" s="1321"/>
      <c r="AK19" s="1321"/>
      <c r="AL19" s="1323"/>
    </row>
    <row r="20" spans="2:38" ht="20.25" customHeight="1">
      <c r="B20" s="1451" t="s">
        <v>1605</v>
      </c>
      <c r="C20" s="1452" t="str">
        <f>IF(C17&lt;&gt;"1：国土交通省(建設)","",IF(一般事項!F34="","",一般事項!F34))</f>
        <v/>
      </c>
      <c r="D20" s="1288" t="e">
        <f>IF(D21&gt;=1.3,0,INDEX(AB5:AF90,MATCH(C18,K5:K90,0),MATCH(C20,AB4:AF4,0)))</f>
        <v>#N/A</v>
      </c>
      <c r="E20" s="1280" t="s">
        <v>1714</v>
      </c>
      <c r="F20" s="1246"/>
      <c r="G20" s="1071"/>
      <c r="H20" s="1033"/>
      <c r="I20" s="1148"/>
      <c r="J20" s="1313">
        <v>1</v>
      </c>
      <c r="K20" s="1314" t="s">
        <v>1574</v>
      </c>
      <c r="L20" s="1315">
        <v>10000</v>
      </c>
      <c r="M20" s="1316">
        <v>2000000</v>
      </c>
      <c r="N20" s="1317">
        <v>68.3</v>
      </c>
      <c r="O20" s="1318">
        <v>-0.12670000000000001</v>
      </c>
      <c r="P20" s="1319"/>
      <c r="Q20" s="1319"/>
      <c r="R20" s="1320"/>
      <c r="S20" s="1321">
        <v>0.95</v>
      </c>
      <c r="T20" s="1321">
        <v>0.95</v>
      </c>
      <c r="U20" s="1321">
        <v>0.95</v>
      </c>
      <c r="V20" s="1321">
        <v>0.9</v>
      </c>
      <c r="W20" s="1321">
        <v>0.9</v>
      </c>
      <c r="X20" s="1321">
        <v>0.9</v>
      </c>
      <c r="Y20" s="1321">
        <v>0.85</v>
      </c>
      <c r="Z20" s="1321"/>
      <c r="AA20" s="1321"/>
      <c r="AB20" s="1322">
        <v>1.3</v>
      </c>
      <c r="AC20" s="1321">
        <v>1.2</v>
      </c>
      <c r="AD20" s="1321">
        <v>1.2</v>
      </c>
      <c r="AE20" s="1321">
        <v>1.3</v>
      </c>
      <c r="AF20" s="1321">
        <v>0</v>
      </c>
      <c r="AG20" s="1322"/>
      <c r="AH20" s="1321"/>
      <c r="AI20" s="1321"/>
      <c r="AJ20" s="1321"/>
      <c r="AK20" s="1321"/>
      <c r="AL20" s="1323"/>
    </row>
    <row r="21" spans="2:38" ht="20.25" customHeight="1">
      <c r="B21" s="1453"/>
      <c r="C21" s="1454"/>
      <c r="D21" s="1255">
        <f>IF(ISERROR(INDEX(P5:R90,MATCH(C18,K5:K90,0),MATCH(C20,P4:R4,0))),1,IF(INDEX(P5:R90,MATCH(C18,K5:K90,0),MATCH(C20,P4:R4,0))=0,1,INDEX(P5:R90,MATCH(C18,K5:K90,0),MATCH(C20,P4:R4,0))))</f>
        <v>1</v>
      </c>
      <c r="E21" s="1280" t="s">
        <v>1175</v>
      </c>
      <c r="F21" s="1247"/>
      <c r="G21" s="1071"/>
      <c r="H21" s="1033"/>
      <c r="I21" s="1148"/>
      <c r="J21" s="1313">
        <v>1</v>
      </c>
      <c r="K21" s="1314" t="s">
        <v>1575</v>
      </c>
      <c r="L21" s="1315">
        <v>10000</v>
      </c>
      <c r="M21" s="1316">
        <v>2000000</v>
      </c>
      <c r="N21" s="1317">
        <v>92.5</v>
      </c>
      <c r="O21" s="1318">
        <v>-0.1181</v>
      </c>
      <c r="P21" s="1319"/>
      <c r="Q21" s="1319"/>
      <c r="R21" s="1320"/>
      <c r="S21" s="1321">
        <v>0.95</v>
      </c>
      <c r="T21" s="1321">
        <v>0.95</v>
      </c>
      <c r="U21" s="1321">
        <v>0.95</v>
      </c>
      <c r="V21" s="1321">
        <v>0.9</v>
      </c>
      <c r="W21" s="1321">
        <v>0.9</v>
      </c>
      <c r="X21" s="1321">
        <v>0.9</v>
      </c>
      <c r="Y21" s="1321">
        <v>0.85</v>
      </c>
      <c r="Z21" s="1321"/>
      <c r="AA21" s="1321"/>
      <c r="AB21" s="1322">
        <v>1.3</v>
      </c>
      <c r="AC21" s="1321">
        <v>1.2</v>
      </c>
      <c r="AD21" s="1321">
        <v>1.2</v>
      </c>
      <c r="AE21" s="1321">
        <v>1.3</v>
      </c>
      <c r="AF21" s="1321">
        <v>0</v>
      </c>
      <c r="AG21" s="1322"/>
      <c r="AH21" s="1321"/>
      <c r="AI21" s="1321"/>
      <c r="AJ21" s="1321"/>
      <c r="AK21" s="1321"/>
      <c r="AL21" s="1323"/>
    </row>
    <row r="22" spans="2:38" ht="20.25" customHeight="1">
      <c r="B22" s="1253" t="s">
        <v>1600</v>
      </c>
      <c r="C22" s="1291"/>
      <c r="D22" s="1288">
        <f>IF(C17="2：国土交通省(港湾)",IF(C20="有り",0,INDEX(AG5:AK90,MATCH(C18,K5:K90,0),MATCH(C20,AG4:AK4,0))),0)</f>
        <v>0</v>
      </c>
      <c r="E22" s="1280"/>
      <c r="F22" s="1279"/>
      <c r="G22" s="1071"/>
      <c r="H22" s="1033"/>
      <c r="I22" s="1148"/>
      <c r="J22" s="1313">
        <v>1</v>
      </c>
      <c r="K22" s="1314" t="s">
        <v>1191</v>
      </c>
      <c r="L22" s="1315">
        <v>10000</v>
      </c>
      <c r="M22" s="1316">
        <v>2000000</v>
      </c>
      <c r="N22" s="1317">
        <v>4164.8999999999996</v>
      </c>
      <c r="O22" s="1318">
        <v>-0.30880000000000002</v>
      </c>
      <c r="P22" s="1319"/>
      <c r="Q22" s="1319"/>
      <c r="R22" s="1320"/>
      <c r="S22" s="1321">
        <v>0.95</v>
      </c>
      <c r="T22" s="1321">
        <v>0.95</v>
      </c>
      <c r="U22" s="1321">
        <v>0.95</v>
      </c>
      <c r="V22" s="1321">
        <v>0.9</v>
      </c>
      <c r="W22" s="1321">
        <v>0.9</v>
      </c>
      <c r="X22" s="1321">
        <v>0.9</v>
      </c>
      <c r="Y22" s="1321">
        <v>0.85</v>
      </c>
      <c r="Z22" s="1321"/>
      <c r="AA22" s="1321"/>
      <c r="AB22" s="1322">
        <v>1.3</v>
      </c>
      <c r="AC22" s="1321">
        <v>1.2</v>
      </c>
      <c r="AD22" s="1321">
        <v>1.2</v>
      </c>
      <c r="AE22" s="1321">
        <v>1.3</v>
      </c>
      <c r="AF22" s="1321">
        <v>0</v>
      </c>
      <c r="AG22" s="1322"/>
      <c r="AH22" s="1321"/>
      <c r="AI22" s="1321"/>
      <c r="AJ22" s="1321"/>
      <c r="AK22" s="1321"/>
      <c r="AL22" s="1323"/>
    </row>
    <row r="23" spans="2:38" ht="20.25" customHeight="1">
      <c r="B23" s="1253" t="s">
        <v>1556</v>
      </c>
      <c r="C23" s="1253" t="str">
        <f>IF(C17&lt;&gt;"1：国土交通省(建設)","",IF(一般事項!F41="2：補正なし","無し",MID(一般事項!F42,12,100)))</f>
        <v/>
      </c>
      <c r="D23" s="1255" t="e">
        <f>IF(C23="無し",1,INDEX(S5:Y90,MATCH(C18,K5:K90,0),MATCH(C23,S4:Y4,0)))</f>
        <v>#N/A</v>
      </c>
      <c r="E23" s="1280"/>
      <c r="F23" s="1279"/>
      <c r="G23" s="1071"/>
      <c r="H23" s="1033"/>
      <c r="I23" s="1148"/>
      <c r="J23" s="1313">
        <v>1</v>
      </c>
      <c r="K23" s="1314" t="s">
        <v>1192</v>
      </c>
      <c r="L23" s="1315">
        <v>10000</v>
      </c>
      <c r="M23" s="1316">
        <v>2000000</v>
      </c>
      <c r="N23" s="1317">
        <v>422.4</v>
      </c>
      <c r="O23" s="1318">
        <v>-0.2167</v>
      </c>
      <c r="P23" s="1319"/>
      <c r="Q23" s="1319"/>
      <c r="R23" s="1320"/>
      <c r="S23" s="1321">
        <v>0.95</v>
      </c>
      <c r="T23" s="1321">
        <v>0.95</v>
      </c>
      <c r="U23" s="1321">
        <v>0.95</v>
      </c>
      <c r="V23" s="1321">
        <v>0.9</v>
      </c>
      <c r="W23" s="1321">
        <v>0.9</v>
      </c>
      <c r="X23" s="1321">
        <v>0.9</v>
      </c>
      <c r="Y23" s="1321">
        <v>0.85</v>
      </c>
      <c r="Z23" s="1321"/>
      <c r="AA23" s="1321"/>
      <c r="AB23" s="1322">
        <v>1.3</v>
      </c>
      <c r="AC23" s="1321">
        <v>1.2</v>
      </c>
      <c r="AD23" s="1321">
        <v>1.2</v>
      </c>
      <c r="AE23" s="1321">
        <v>1.3</v>
      </c>
      <c r="AF23" s="1321">
        <v>0</v>
      </c>
      <c r="AG23" s="1322"/>
      <c r="AH23" s="1321"/>
      <c r="AI23" s="1321"/>
      <c r="AJ23" s="1321"/>
      <c r="AK23" s="1321"/>
      <c r="AL23" s="1323"/>
    </row>
    <row r="24" spans="2:38" ht="20.25" customHeight="1">
      <c r="B24" s="1253" t="s">
        <v>1557</v>
      </c>
      <c r="C24" s="1253" t="str">
        <f>IF(工事情報!E5=7,IF(一般事項!G41="2：補正なし","無し",一般事項!G42),"")</f>
        <v/>
      </c>
      <c r="D24" s="1255">
        <f>IF(工事情報!E5=7,INDEX(Z5:AA90,MATCH(C18,K5:K90,0),MATCH(C24,Z4:AA4,0)),1)</f>
        <v>1</v>
      </c>
      <c r="E24" s="1280"/>
      <c r="F24" s="1279"/>
      <c r="G24" s="1071"/>
      <c r="H24" s="1033"/>
      <c r="I24" s="1148"/>
      <c r="J24" s="1313">
        <v>1</v>
      </c>
      <c r="K24" s="1314" t="s">
        <v>1649</v>
      </c>
      <c r="L24" s="1315">
        <v>10000</v>
      </c>
      <c r="M24" s="1316">
        <v>2000000</v>
      </c>
      <c r="N24" s="1317">
        <v>485.4</v>
      </c>
      <c r="O24" s="1318">
        <v>-0.22309999999999999</v>
      </c>
      <c r="P24" s="1319"/>
      <c r="Q24" s="1319"/>
      <c r="R24" s="1320"/>
      <c r="S24" s="1321">
        <v>0.95</v>
      </c>
      <c r="T24" s="1321">
        <v>0.95</v>
      </c>
      <c r="U24" s="1321">
        <v>0.95</v>
      </c>
      <c r="V24" s="1321">
        <v>0.9</v>
      </c>
      <c r="W24" s="1321">
        <v>0.9</v>
      </c>
      <c r="X24" s="1321">
        <v>0.9</v>
      </c>
      <c r="Y24" s="1321">
        <v>0.85</v>
      </c>
      <c r="Z24" s="1321"/>
      <c r="AA24" s="1321"/>
      <c r="AB24" s="1322">
        <v>1.3</v>
      </c>
      <c r="AC24" s="1321">
        <v>1.2</v>
      </c>
      <c r="AD24" s="1321">
        <v>1.2</v>
      </c>
      <c r="AE24" s="1321">
        <v>1.3</v>
      </c>
      <c r="AF24" s="1321">
        <v>0</v>
      </c>
      <c r="AG24" s="1322"/>
      <c r="AH24" s="1321"/>
      <c r="AI24" s="1321"/>
      <c r="AJ24" s="1321"/>
      <c r="AK24" s="1321"/>
      <c r="AL24" s="1323"/>
    </row>
    <row r="25" spans="2:38" ht="20.25" customHeight="1">
      <c r="B25" s="1253" t="s">
        <v>1602</v>
      </c>
      <c r="C25" s="1254" t="str">
        <f>IF(一般事項!F85="","",一般事項!F85)</f>
        <v/>
      </c>
      <c r="D25" s="1271">
        <f>IF(C25="有り",1.5,1)</f>
        <v>1</v>
      </c>
      <c r="E25" s="1280"/>
      <c r="F25" s="1279"/>
      <c r="G25" s="1071"/>
      <c r="H25" s="1033"/>
      <c r="I25" s="1148"/>
      <c r="J25" s="1313">
        <v>1</v>
      </c>
      <c r="K25" s="1314" t="s">
        <v>1650</v>
      </c>
      <c r="L25" s="1315">
        <v>10000</v>
      </c>
      <c r="M25" s="1316">
        <v>2000000</v>
      </c>
      <c r="N25" s="1317">
        <v>485.4</v>
      </c>
      <c r="O25" s="1318">
        <v>-0.22309999999999999</v>
      </c>
      <c r="P25" s="1319"/>
      <c r="Q25" s="1319"/>
      <c r="R25" s="1320"/>
      <c r="S25" s="1321">
        <v>0.95</v>
      </c>
      <c r="T25" s="1321">
        <v>0.95</v>
      </c>
      <c r="U25" s="1321">
        <v>0.95</v>
      </c>
      <c r="V25" s="1321">
        <v>0.9</v>
      </c>
      <c r="W25" s="1321">
        <v>0.9</v>
      </c>
      <c r="X25" s="1321">
        <v>0.9</v>
      </c>
      <c r="Y25" s="1321">
        <v>0.85</v>
      </c>
      <c r="Z25" s="1321"/>
      <c r="AA25" s="1321"/>
      <c r="AB25" s="1322">
        <v>1.3</v>
      </c>
      <c r="AC25" s="1321">
        <v>1.2</v>
      </c>
      <c r="AD25" s="1321">
        <v>1.2</v>
      </c>
      <c r="AE25" s="1321">
        <v>1.3</v>
      </c>
      <c r="AF25" s="1321">
        <v>0</v>
      </c>
      <c r="AG25" s="1322"/>
      <c r="AH25" s="1321"/>
      <c r="AI25" s="1321"/>
      <c r="AJ25" s="1321"/>
      <c r="AK25" s="1321"/>
      <c r="AL25" s="1323"/>
    </row>
    <row r="26" spans="2:38" ht="20.25" customHeight="1">
      <c r="B26" s="1281" t="s">
        <v>1179</v>
      </c>
      <c r="C26" s="1282" t="str">
        <f>IF(C17&lt;&gt;"2：国土交通省(港湾)","",一般事項!F34)</f>
        <v/>
      </c>
      <c r="D26" s="1289">
        <f>IF(AND(OR(C17="2：国土交通省(港湾)",C17="4：農林水産省"),C26="有り"),VLOOKUP(C18,K5:AL90,27,FALSE),0)</f>
        <v>0</v>
      </c>
      <c r="E26" s="1280"/>
      <c r="F26" s="1279"/>
      <c r="G26" s="1071"/>
      <c r="H26" s="1033"/>
      <c r="I26" s="1148"/>
      <c r="J26" s="1313">
        <v>1</v>
      </c>
      <c r="K26" s="1314" t="s">
        <v>1651</v>
      </c>
      <c r="L26" s="1315">
        <v>10000</v>
      </c>
      <c r="M26" s="1316">
        <v>2000000</v>
      </c>
      <c r="N26" s="1317">
        <v>485.4</v>
      </c>
      <c r="O26" s="1318">
        <v>-0.22309999999999999</v>
      </c>
      <c r="P26" s="1319"/>
      <c r="Q26" s="1319"/>
      <c r="R26" s="1320"/>
      <c r="S26" s="1321">
        <v>0.95</v>
      </c>
      <c r="T26" s="1321">
        <v>0.95</v>
      </c>
      <c r="U26" s="1321">
        <v>0.95</v>
      </c>
      <c r="V26" s="1321">
        <v>0.9</v>
      </c>
      <c r="W26" s="1321">
        <v>0.9</v>
      </c>
      <c r="X26" s="1321">
        <v>0.9</v>
      </c>
      <c r="Y26" s="1321">
        <v>0.85</v>
      </c>
      <c r="Z26" s="1321"/>
      <c r="AA26" s="1321"/>
      <c r="AB26" s="1322">
        <v>1.3</v>
      </c>
      <c r="AC26" s="1321">
        <v>1.2</v>
      </c>
      <c r="AD26" s="1321">
        <v>1.2</v>
      </c>
      <c r="AE26" s="1321">
        <v>1.3</v>
      </c>
      <c r="AF26" s="1321">
        <v>0</v>
      </c>
      <c r="AG26" s="1322"/>
      <c r="AH26" s="1321"/>
      <c r="AI26" s="1321"/>
      <c r="AJ26" s="1321"/>
      <c r="AK26" s="1321"/>
      <c r="AL26" s="1323"/>
    </row>
    <row r="27" spans="2:38" ht="20.25" customHeight="1">
      <c r="B27" s="1260"/>
      <c r="C27" s="1260"/>
      <c r="D27" s="1267"/>
      <c r="E27" s="1245"/>
      <c r="F27" s="1245"/>
      <c r="G27" s="1071"/>
      <c r="H27" s="1150"/>
      <c r="I27" s="1150"/>
      <c r="J27" s="1313">
        <v>1</v>
      </c>
      <c r="K27" s="1314" t="s">
        <v>1652</v>
      </c>
      <c r="L27" s="1315">
        <v>10000</v>
      </c>
      <c r="M27" s="1316">
        <v>2000000</v>
      </c>
      <c r="N27" s="1317">
        <v>485.4</v>
      </c>
      <c r="O27" s="1318">
        <v>-0.22309999999999999</v>
      </c>
      <c r="P27" s="1319"/>
      <c r="Q27" s="1319"/>
      <c r="R27" s="1320"/>
      <c r="S27" s="1321">
        <v>0.95</v>
      </c>
      <c r="T27" s="1321">
        <v>0.95</v>
      </c>
      <c r="U27" s="1321">
        <v>0.95</v>
      </c>
      <c r="V27" s="1321">
        <v>0.9</v>
      </c>
      <c r="W27" s="1321">
        <v>0.9</v>
      </c>
      <c r="X27" s="1321">
        <v>0.9</v>
      </c>
      <c r="Y27" s="1321">
        <v>0.85</v>
      </c>
      <c r="Z27" s="1321"/>
      <c r="AA27" s="1321"/>
      <c r="AB27" s="1322">
        <v>1.3</v>
      </c>
      <c r="AC27" s="1321">
        <v>1.2</v>
      </c>
      <c r="AD27" s="1321">
        <v>1.2</v>
      </c>
      <c r="AE27" s="1321">
        <v>1.3</v>
      </c>
      <c r="AF27" s="1321">
        <v>0</v>
      </c>
      <c r="AG27" s="1322"/>
      <c r="AH27" s="1321"/>
      <c r="AI27" s="1321"/>
      <c r="AJ27" s="1321"/>
      <c r="AK27" s="1321"/>
      <c r="AL27" s="1323"/>
    </row>
    <row r="28" spans="2:38" ht="20.25" customHeight="1">
      <c r="B28" s="1150" t="str">
        <f>"率式 ("&amp;C18&amp;")"</f>
        <v>率式 ()</v>
      </c>
      <c r="C28" s="97"/>
      <c r="D28" s="97"/>
      <c r="E28" s="97"/>
      <c r="F28" s="97"/>
      <c r="G28" s="1071"/>
      <c r="H28" s="1033"/>
      <c r="I28" s="1148"/>
      <c r="J28" s="1313">
        <v>1</v>
      </c>
      <c r="K28" s="1314" t="s">
        <v>1193</v>
      </c>
      <c r="L28" s="1315">
        <v>10000</v>
      </c>
      <c r="M28" s="1316">
        <v>2000000</v>
      </c>
      <c r="N28" s="1317">
        <v>13.5</v>
      </c>
      <c r="O28" s="1318">
        <v>-3.5299999999999998E-2</v>
      </c>
      <c r="P28" s="1319"/>
      <c r="Q28" s="1319"/>
      <c r="R28" s="1320"/>
      <c r="S28" s="1321">
        <v>0.95</v>
      </c>
      <c r="T28" s="1321">
        <v>0.95</v>
      </c>
      <c r="U28" s="1321">
        <v>0.95</v>
      </c>
      <c r="V28" s="1321">
        <v>0.9</v>
      </c>
      <c r="W28" s="1321">
        <v>0.9</v>
      </c>
      <c r="X28" s="1321">
        <v>0.9</v>
      </c>
      <c r="Y28" s="1321">
        <v>0.85</v>
      </c>
      <c r="Z28" s="1321"/>
      <c r="AA28" s="1321"/>
      <c r="AB28" s="1322">
        <v>1.3</v>
      </c>
      <c r="AC28" s="1321">
        <v>1.2</v>
      </c>
      <c r="AD28" s="1321">
        <v>1.2</v>
      </c>
      <c r="AE28" s="1321">
        <v>1.3</v>
      </c>
      <c r="AF28" s="1321">
        <v>0</v>
      </c>
      <c r="AG28" s="1322"/>
      <c r="AH28" s="1321"/>
      <c r="AI28" s="1321"/>
      <c r="AJ28" s="1321"/>
      <c r="AK28" s="1321"/>
      <c r="AL28" s="1323"/>
    </row>
    <row r="29" spans="2:38" ht="20.25" customHeight="1">
      <c r="B29" s="1261" t="s">
        <v>1610</v>
      </c>
      <c r="C29" s="1261" t="s">
        <v>1611</v>
      </c>
      <c r="D29" s="1262" t="s">
        <v>1612</v>
      </c>
      <c r="E29" s="1261" t="s">
        <v>1608</v>
      </c>
      <c r="F29" s="1262" t="s">
        <v>1609</v>
      </c>
      <c r="G29" s="1263" t="s">
        <v>1553</v>
      </c>
      <c r="H29" s="1263" t="s">
        <v>1554</v>
      </c>
      <c r="J29" s="1313">
        <v>1</v>
      </c>
      <c r="K29" s="1314" t="s">
        <v>1653</v>
      </c>
      <c r="L29" s="1315">
        <v>6000</v>
      </c>
      <c r="M29" s="1316">
        <v>100000</v>
      </c>
      <c r="N29" s="1317">
        <v>485.4</v>
      </c>
      <c r="O29" s="1318">
        <v>-0.22309999999999999</v>
      </c>
      <c r="P29" s="1319"/>
      <c r="Q29" s="1319"/>
      <c r="R29" s="1320"/>
      <c r="S29" s="1321">
        <v>0.95</v>
      </c>
      <c r="T29" s="1321">
        <v>0.95</v>
      </c>
      <c r="U29" s="1321">
        <v>0.95</v>
      </c>
      <c r="V29" s="1321">
        <v>0.9</v>
      </c>
      <c r="W29" s="1321">
        <v>0.9</v>
      </c>
      <c r="X29" s="1321">
        <v>0.9</v>
      </c>
      <c r="Y29" s="1321">
        <v>0.85</v>
      </c>
      <c r="Z29" s="1321"/>
      <c r="AA29" s="1321"/>
      <c r="AB29" s="1322">
        <v>1.3</v>
      </c>
      <c r="AC29" s="1321">
        <v>1.2</v>
      </c>
      <c r="AD29" s="1321">
        <v>1.2</v>
      </c>
      <c r="AE29" s="1321">
        <v>1.3</v>
      </c>
      <c r="AF29" s="1321">
        <v>0</v>
      </c>
      <c r="AG29" s="1322"/>
      <c r="AH29" s="1321"/>
      <c r="AI29" s="1321"/>
      <c r="AJ29" s="1321"/>
      <c r="AK29" s="1321"/>
      <c r="AL29" s="1323"/>
    </row>
    <row r="30" spans="2:38" ht="20.25" customHeight="1">
      <c r="B30" s="1265">
        <f>工事費!J59</f>
        <v>0</v>
      </c>
      <c r="C30" s="1265" t="e">
        <f>VLOOKUP($C$18,$K$5:$O$90,2,FALSE)</f>
        <v>#N/A</v>
      </c>
      <c r="D30" s="1265" t="e">
        <f>VLOOKUP($C$18,$K$5:$O$90,3,FALSE)</f>
        <v>#N/A</v>
      </c>
      <c r="E30" s="1272" t="e">
        <f>ROUND(G30*(C30*1000)^H30,2)/100</f>
        <v>#N/A</v>
      </c>
      <c r="F30" s="1272" t="e">
        <f>ROUND(G30*(D30*1000)^H30,2)/100</f>
        <v>#N/A</v>
      </c>
      <c r="G30" s="1261" t="e">
        <f>VLOOKUP($C$18,$K$5:$O$90,4,FALSE)</f>
        <v>#N/A</v>
      </c>
      <c r="H30" s="1261" t="e">
        <f>VLOOKUP($C$18,$K$5:$O$90,5,FALSE)</f>
        <v>#N/A</v>
      </c>
      <c r="J30" s="1313">
        <v>1</v>
      </c>
      <c r="K30" s="1314" t="s">
        <v>1654</v>
      </c>
      <c r="L30" s="1315">
        <v>6000</v>
      </c>
      <c r="M30" s="1316">
        <v>100000</v>
      </c>
      <c r="N30" s="1317">
        <v>485.4</v>
      </c>
      <c r="O30" s="1318">
        <v>-0.22309999999999999</v>
      </c>
      <c r="P30" s="1319"/>
      <c r="Q30" s="1319"/>
      <c r="R30" s="1320"/>
      <c r="S30" s="1321">
        <v>0.95</v>
      </c>
      <c r="T30" s="1321">
        <v>0.95</v>
      </c>
      <c r="U30" s="1321">
        <v>0.95</v>
      </c>
      <c r="V30" s="1321">
        <v>0.9</v>
      </c>
      <c r="W30" s="1321">
        <v>0.9</v>
      </c>
      <c r="X30" s="1321">
        <v>0.9</v>
      </c>
      <c r="Y30" s="1321">
        <v>0.85</v>
      </c>
      <c r="Z30" s="1321"/>
      <c r="AA30" s="1321"/>
      <c r="AB30" s="1322">
        <v>1.3</v>
      </c>
      <c r="AC30" s="1321">
        <v>1.2</v>
      </c>
      <c r="AD30" s="1321">
        <v>1.2</v>
      </c>
      <c r="AE30" s="1321">
        <v>1.3</v>
      </c>
      <c r="AF30" s="1321">
        <v>0</v>
      </c>
      <c r="AG30" s="1322"/>
      <c r="AH30" s="1321"/>
      <c r="AI30" s="1321"/>
      <c r="AJ30" s="1321"/>
      <c r="AK30" s="1321"/>
      <c r="AL30" s="1323"/>
    </row>
    <row r="31" spans="2:38" ht="20.25" customHeight="1">
      <c r="B31" s="97"/>
      <c r="C31" s="97"/>
      <c r="D31" s="97"/>
      <c r="E31" s="97"/>
      <c r="F31" s="97"/>
      <c r="G31" s="1071"/>
      <c r="H31" s="1033"/>
      <c r="I31" s="1148"/>
      <c r="J31" s="1313">
        <v>1</v>
      </c>
      <c r="K31" s="1314" t="s">
        <v>1655</v>
      </c>
      <c r="L31" s="1315">
        <v>6000</v>
      </c>
      <c r="M31" s="1316">
        <v>100000</v>
      </c>
      <c r="N31" s="1317">
        <v>485.4</v>
      </c>
      <c r="O31" s="1318">
        <v>-0.22309999999999999</v>
      </c>
      <c r="P31" s="1319"/>
      <c r="Q31" s="1319"/>
      <c r="R31" s="1320"/>
      <c r="S31" s="1321">
        <v>0.95</v>
      </c>
      <c r="T31" s="1321">
        <v>0.95</v>
      </c>
      <c r="U31" s="1321">
        <v>0.95</v>
      </c>
      <c r="V31" s="1321">
        <v>0.9</v>
      </c>
      <c r="W31" s="1321">
        <v>0.9</v>
      </c>
      <c r="X31" s="1321">
        <v>0.9</v>
      </c>
      <c r="Y31" s="1321">
        <v>0.85</v>
      </c>
      <c r="Z31" s="1321"/>
      <c r="AA31" s="1321"/>
      <c r="AB31" s="1322">
        <v>1.3</v>
      </c>
      <c r="AC31" s="1321">
        <v>1.2</v>
      </c>
      <c r="AD31" s="1321">
        <v>1.2</v>
      </c>
      <c r="AE31" s="1321">
        <v>1.3</v>
      </c>
      <c r="AF31" s="1321">
        <v>0</v>
      </c>
      <c r="AG31" s="1322"/>
      <c r="AH31" s="1321"/>
      <c r="AI31" s="1321"/>
      <c r="AJ31" s="1321"/>
      <c r="AK31" s="1321"/>
      <c r="AL31" s="1323"/>
    </row>
    <row r="32" spans="2:38" ht="20.25" customHeight="1">
      <c r="B32" s="1034" t="s">
        <v>1615</v>
      </c>
      <c r="E32" s="97"/>
      <c r="F32" s="97"/>
      <c r="G32" s="1071"/>
      <c r="J32" s="1313">
        <v>1</v>
      </c>
      <c r="K32" s="1314" t="s">
        <v>1656</v>
      </c>
      <c r="L32" s="1315">
        <v>6000</v>
      </c>
      <c r="M32" s="1316">
        <v>100000</v>
      </c>
      <c r="N32" s="1317">
        <v>485.4</v>
      </c>
      <c r="O32" s="1318">
        <v>-0.22309999999999999</v>
      </c>
      <c r="P32" s="1319"/>
      <c r="Q32" s="1319"/>
      <c r="R32" s="1320"/>
      <c r="S32" s="1321">
        <v>0.95</v>
      </c>
      <c r="T32" s="1321">
        <v>0.95</v>
      </c>
      <c r="U32" s="1321">
        <v>0.95</v>
      </c>
      <c r="V32" s="1321">
        <v>0.9</v>
      </c>
      <c r="W32" s="1321">
        <v>0.9</v>
      </c>
      <c r="X32" s="1321">
        <v>0.9</v>
      </c>
      <c r="Y32" s="1321">
        <v>0.85</v>
      </c>
      <c r="Z32" s="1321"/>
      <c r="AA32" s="1321"/>
      <c r="AB32" s="1322">
        <v>1.3</v>
      </c>
      <c r="AC32" s="1321">
        <v>1.2</v>
      </c>
      <c r="AD32" s="1321">
        <v>1.2</v>
      </c>
      <c r="AE32" s="1321">
        <v>1.3</v>
      </c>
      <c r="AF32" s="1321">
        <v>0</v>
      </c>
      <c r="AG32" s="1322"/>
      <c r="AH32" s="1321"/>
      <c r="AI32" s="1321"/>
      <c r="AJ32" s="1321"/>
      <c r="AK32" s="1321"/>
      <c r="AL32" s="1323"/>
    </row>
    <row r="33" spans="2:38" ht="20.25" customHeight="1">
      <c r="B33" s="1261" t="s">
        <v>1607</v>
      </c>
      <c r="C33" s="1272" t="e">
        <f>(IF(E30&lt;ROUND(G30*(B30*1000)^H30,2)/100,E30,IF(F30&gt;ROUND(G30*(B30*1000)^H30,2)/100,F30,ROUND(G30*(B30*1000)^H30,2)/100)))</f>
        <v>#N/A</v>
      </c>
      <c r="D33" s="1273"/>
      <c r="E33" s="1269"/>
      <c r="F33" s="97"/>
      <c r="G33" s="1071"/>
      <c r="J33" s="1313">
        <v>1</v>
      </c>
      <c r="K33" s="1314" t="s">
        <v>1657</v>
      </c>
      <c r="L33" s="1315">
        <v>6000</v>
      </c>
      <c r="M33" s="1316">
        <v>100000</v>
      </c>
      <c r="N33" s="1317">
        <v>485.4</v>
      </c>
      <c r="O33" s="1318">
        <v>-0.22309999999999999</v>
      </c>
      <c r="P33" s="1319"/>
      <c r="Q33" s="1319"/>
      <c r="R33" s="1320"/>
      <c r="S33" s="1321">
        <v>0.95</v>
      </c>
      <c r="T33" s="1321">
        <v>0.95</v>
      </c>
      <c r="U33" s="1321">
        <v>0.95</v>
      </c>
      <c r="V33" s="1321">
        <v>0.9</v>
      </c>
      <c r="W33" s="1321">
        <v>0.9</v>
      </c>
      <c r="X33" s="1321">
        <v>0.9</v>
      </c>
      <c r="Y33" s="1321">
        <v>0.85</v>
      </c>
      <c r="Z33" s="1321"/>
      <c r="AA33" s="1321"/>
      <c r="AB33" s="1322">
        <v>1.3</v>
      </c>
      <c r="AC33" s="1321">
        <v>1.2</v>
      </c>
      <c r="AD33" s="1321">
        <v>1.2</v>
      </c>
      <c r="AE33" s="1321">
        <v>1.3</v>
      </c>
      <c r="AF33" s="1321">
        <v>0</v>
      </c>
      <c r="AG33" s="1322"/>
      <c r="AH33" s="1321"/>
      <c r="AI33" s="1321"/>
      <c r="AJ33" s="1321"/>
      <c r="AK33" s="1321"/>
      <c r="AL33" s="1323"/>
    </row>
    <row r="34" spans="2:38" ht="20.25" customHeight="1">
      <c r="B34" s="1261" t="s">
        <v>1613</v>
      </c>
      <c r="C34" s="1272" t="e">
        <f>ROUND(((D23*C33)+(C33*D21)-C33)*D25,4)</f>
        <v>#N/A</v>
      </c>
      <c r="D34" s="1274"/>
      <c r="E34" s="1269"/>
      <c r="F34" s="97"/>
      <c r="G34" s="1071"/>
      <c r="J34" s="1313">
        <v>1</v>
      </c>
      <c r="K34" s="1314" t="s">
        <v>1658</v>
      </c>
      <c r="L34" s="1315">
        <v>300000</v>
      </c>
      <c r="M34" s="1316">
        <v>5000000</v>
      </c>
      <c r="N34" s="1317">
        <v>105.2</v>
      </c>
      <c r="O34" s="1318">
        <v>-0.11</v>
      </c>
      <c r="P34" s="1319"/>
      <c r="Q34" s="1319"/>
      <c r="R34" s="1320"/>
      <c r="S34" s="1321">
        <v>0.95</v>
      </c>
      <c r="T34" s="1321">
        <v>0.95</v>
      </c>
      <c r="U34" s="1321">
        <v>0.95</v>
      </c>
      <c r="V34" s="1321">
        <v>0.9</v>
      </c>
      <c r="W34" s="1321">
        <v>0.9</v>
      </c>
      <c r="X34" s="1321">
        <v>0.9</v>
      </c>
      <c r="Y34" s="1321">
        <v>0.85</v>
      </c>
      <c r="Z34" s="1321"/>
      <c r="AA34" s="1321"/>
      <c r="AB34" s="1322"/>
      <c r="AC34" s="1321"/>
      <c r="AD34" s="1321"/>
      <c r="AE34" s="1321"/>
      <c r="AF34" s="1395">
        <v>0</v>
      </c>
      <c r="AG34" s="1322"/>
      <c r="AH34" s="1321"/>
      <c r="AI34" s="1321"/>
      <c r="AJ34" s="1321"/>
      <c r="AK34" s="1321"/>
      <c r="AL34" s="1323"/>
    </row>
    <row r="35" spans="2:38" ht="20.25" customHeight="1">
      <c r="B35" s="1263" t="s">
        <v>1614</v>
      </c>
      <c r="C35" s="1272" t="e">
        <f>ROUND(((C33*D23)+D20+D26)*D25,4)</f>
        <v>#N/A</v>
      </c>
      <c r="D35" s="1274"/>
      <c r="E35" s="1270"/>
      <c r="F35" s="97"/>
      <c r="G35" s="1071"/>
      <c r="J35" s="1313">
        <v>1</v>
      </c>
      <c r="K35" s="1314" t="s">
        <v>1659</v>
      </c>
      <c r="L35" s="1315">
        <v>300000</v>
      </c>
      <c r="M35" s="1316">
        <v>5000000</v>
      </c>
      <c r="N35" s="1317">
        <v>43.7</v>
      </c>
      <c r="O35" s="1318">
        <v>-8.9800000000000005E-2</v>
      </c>
      <c r="P35" s="1319"/>
      <c r="Q35" s="1319"/>
      <c r="R35" s="1320"/>
      <c r="S35" s="1321">
        <v>0.95</v>
      </c>
      <c r="T35" s="1321">
        <v>0.95</v>
      </c>
      <c r="U35" s="1321">
        <v>0.95</v>
      </c>
      <c r="V35" s="1321">
        <v>0.9</v>
      </c>
      <c r="W35" s="1321">
        <v>0.9</v>
      </c>
      <c r="X35" s="1321">
        <v>0.9</v>
      </c>
      <c r="Y35" s="1321">
        <v>0.85</v>
      </c>
      <c r="Z35" s="1321"/>
      <c r="AA35" s="1321"/>
      <c r="AB35" s="1322"/>
      <c r="AC35" s="1321"/>
      <c r="AD35" s="1321"/>
      <c r="AE35" s="1321"/>
      <c r="AF35" s="1395">
        <v>0</v>
      </c>
      <c r="AG35" s="1322"/>
      <c r="AH35" s="1321"/>
      <c r="AI35" s="1321"/>
      <c r="AJ35" s="1321"/>
      <c r="AK35" s="1321"/>
      <c r="AL35" s="1323"/>
    </row>
    <row r="36" spans="2:38" ht="20.25" customHeight="1">
      <c r="B36" s="1119"/>
      <c r="D36" s="97"/>
      <c r="E36" s="97"/>
      <c r="F36" s="97"/>
      <c r="G36" s="87"/>
      <c r="J36" s="1313">
        <v>1</v>
      </c>
      <c r="K36" s="1314" t="s">
        <v>1660</v>
      </c>
      <c r="L36" s="1315">
        <v>2000</v>
      </c>
      <c r="M36" s="1316">
        <v>100000</v>
      </c>
      <c r="N36" s="1325">
        <v>4118.1000000000004</v>
      </c>
      <c r="O36" s="1326">
        <v>-0.3548</v>
      </c>
      <c r="P36" s="1319">
        <v>2</v>
      </c>
      <c r="Q36" s="1319">
        <v>1.5</v>
      </c>
      <c r="R36" s="1320">
        <v>1.3</v>
      </c>
      <c r="S36" s="1321">
        <v>0.95</v>
      </c>
      <c r="T36" s="1321">
        <v>0.95</v>
      </c>
      <c r="U36" s="1321">
        <v>0.95</v>
      </c>
      <c r="V36" s="1321">
        <v>0.9</v>
      </c>
      <c r="W36" s="1321">
        <v>0.9</v>
      </c>
      <c r="X36" s="1321">
        <v>0.9</v>
      </c>
      <c r="Y36" s="1321">
        <v>0.85</v>
      </c>
      <c r="Z36" s="1321"/>
      <c r="AA36" s="1321"/>
      <c r="AB36" s="1322">
        <v>1.3</v>
      </c>
      <c r="AC36" s="1321">
        <v>1.2</v>
      </c>
      <c r="AD36" s="1321">
        <v>1.2</v>
      </c>
      <c r="AE36" s="1321">
        <v>1.3</v>
      </c>
      <c r="AF36" s="1321">
        <v>0</v>
      </c>
      <c r="AG36" s="1322"/>
      <c r="AH36" s="1321"/>
      <c r="AI36" s="1321"/>
      <c r="AJ36" s="1321"/>
      <c r="AK36" s="1321"/>
      <c r="AL36" s="1323"/>
    </row>
    <row r="37" spans="2:38" ht="20.25" customHeight="1">
      <c r="B37" s="1034" t="s">
        <v>1639</v>
      </c>
      <c r="D37" s="87"/>
      <c r="E37" s="87"/>
      <c r="F37" s="87"/>
      <c r="G37" s="87"/>
      <c r="J37" s="1313">
        <v>1</v>
      </c>
      <c r="K37" s="1314" t="s">
        <v>1604</v>
      </c>
      <c r="L37" s="1315">
        <v>2000</v>
      </c>
      <c r="M37" s="1316">
        <v>100000</v>
      </c>
      <c r="N37" s="1317">
        <v>26.8</v>
      </c>
      <c r="O37" s="1318">
        <v>-7.4800000000000005E-2</v>
      </c>
      <c r="P37" s="1319"/>
      <c r="Q37" s="1319"/>
      <c r="R37" s="1320"/>
      <c r="S37" s="1321">
        <v>0.95</v>
      </c>
      <c r="T37" s="1321">
        <v>0.95</v>
      </c>
      <c r="U37" s="1321">
        <v>0.95</v>
      </c>
      <c r="V37" s="1321">
        <v>0.9</v>
      </c>
      <c r="W37" s="1321">
        <v>0.9</v>
      </c>
      <c r="X37" s="1321">
        <v>0.9</v>
      </c>
      <c r="Y37" s="1321">
        <v>0.85</v>
      </c>
      <c r="Z37" s="1321"/>
      <c r="AA37" s="1321"/>
      <c r="AB37" s="1322">
        <v>1.3</v>
      </c>
      <c r="AC37" s="1321">
        <v>1.2</v>
      </c>
      <c r="AD37" s="1321">
        <v>1.2</v>
      </c>
      <c r="AE37" s="1321">
        <v>1.3</v>
      </c>
      <c r="AF37" s="1321">
        <v>0</v>
      </c>
      <c r="AG37" s="1322"/>
      <c r="AH37" s="1321"/>
      <c r="AI37" s="1321"/>
      <c r="AJ37" s="1321"/>
      <c r="AK37" s="1321"/>
      <c r="AL37" s="1323"/>
    </row>
    <row r="38" spans="2:38" ht="20.25" customHeight="1">
      <c r="B38" s="1286" t="s">
        <v>1616</v>
      </c>
      <c r="C38" s="1151" t="s">
        <v>1627</v>
      </c>
      <c r="D38" s="87" t="str">
        <f>IF(OR(C20="",C18=""),"「地域特性」又は「工種」が未入力のため計算エラーです。","「共通仮設費の率分」（自動計算値）　=　"&amp;TEXT(B30,"0,000")&amp;" × ( "&amp;TEXT(C33,"0.00 %")&amp;"　＋　"&amp;TEXT(D20,"0.00 %")&amp;" )")</f>
        <v>「地域特性」又は「工種」が未入力のため計算エラーです。</v>
      </c>
      <c r="E38" s="87"/>
      <c r="F38" s="87"/>
      <c r="J38" s="1313">
        <v>1</v>
      </c>
      <c r="K38" s="1314" t="s">
        <v>1576</v>
      </c>
      <c r="L38" s="1315">
        <v>2000</v>
      </c>
      <c r="M38" s="1316">
        <v>100000</v>
      </c>
      <c r="N38" s="1325">
        <v>4118.1000000000004</v>
      </c>
      <c r="O38" s="1326">
        <v>-0.3548</v>
      </c>
      <c r="P38" s="1319"/>
      <c r="Q38" s="1319"/>
      <c r="R38" s="1320"/>
      <c r="S38" s="1321">
        <v>0.95</v>
      </c>
      <c r="T38" s="1321">
        <v>0.95</v>
      </c>
      <c r="U38" s="1321">
        <v>0.95</v>
      </c>
      <c r="V38" s="1321">
        <v>0.9</v>
      </c>
      <c r="W38" s="1321">
        <v>0.9</v>
      </c>
      <c r="X38" s="1321">
        <v>0.9</v>
      </c>
      <c r="Y38" s="1321">
        <v>0.85</v>
      </c>
      <c r="Z38" s="1321"/>
      <c r="AA38" s="1321"/>
      <c r="AB38" s="1322">
        <v>1.3</v>
      </c>
      <c r="AC38" s="1321">
        <v>1.2</v>
      </c>
      <c r="AD38" s="1321">
        <v>1.2</v>
      </c>
      <c r="AE38" s="1321">
        <v>1.3</v>
      </c>
      <c r="AF38" s="1321">
        <v>0</v>
      </c>
      <c r="AG38" s="1322"/>
      <c r="AH38" s="1321"/>
      <c r="AI38" s="1321"/>
      <c r="AJ38" s="1321"/>
      <c r="AK38" s="1321"/>
      <c r="AL38" s="1323"/>
    </row>
    <row r="39" spans="2:38" ht="20.25" customHeight="1" thickBot="1">
      <c r="B39" s="1286" t="s">
        <v>1617</v>
      </c>
      <c r="C39" s="1151" t="s">
        <v>1628</v>
      </c>
      <c r="D39" s="1149" t="str">
        <f>IF(OR(C20="",C18=""),"「地域特性」又は「工種」が未入力のため計算エラーです。","「共通仮設費の率分」（自動計算値）　=　"&amp;TEXT(B30,"0,000")&amp;" × ( "&amp;TEXT(C33,"0.00 %")&amp;"　＋　"&amp;TEXT(D20,"0.00 %")&amp;"　＋　"&amp;TEXT(D26,"0.00 %")&amp;" )")</f>
        <v>「地域特性」又は「工種」が未入力のため計算エラーです。</v>
      </c>
      <c r="J39" s="1313">
        <v>1</v>
      </c>
      <c r="K39" s="1314" t="s">
        <v>1577</v>
      </c>
      <c r="L39" s="1315">
        <v>2000</v>
      </c>
      <c r="M39" s="1316">
        <v>100000</v>
      </c>
      <c r="N39" s="1317">
        <v>26.8</v>
      </c>
      <c r="O39" s="1318">
        <v>-7.4800000000000005E-2</v>
      </c>
      <c r="P39" s="1319"/>
      <c r="Q39" s="1319"/>
      <c r="R39" s="1320"/>
      <c r="S39" s="1321">
        <v>0.95</v>
      </c>
      <c r="T39" s="1321">
        <v>0.95</v>
      </c>
      <c r="U39" s="1321">
        <v>0.95</v>
      </c>
      <c r="V39" s="1321">
        <v>0.9</v>
      </c>
      <c r="W39" s="1321">
        <v>0.9</v>
      </c>
      <c r="X39" s="1321">
        <v>0.9</v>
      </c>
      <c r="Y39" s="1321">
        <v>0.85</v>
      </c>
      <c r="Z39" s="1321"/>
      <c r="AA39" s="1321"/>
      <c r="AB39" s="1322">
        <v>1.3</v>
      </c>
      <c r="AC39" s="1321">
        <v>1.2</v>
      </c>
      <c r="AD39" s="1321">
        <v>1.2</v>
      </c>
      <c r="AE39" s="1321">
        <v>1.3</v>
      </c>
      <c r="AF39" s="1321">
        <v>0</v>
      </c>
      <c r="AG39" s="1322"/>
      <c r="AH39" s="1321"/>
      <c r="AI39" s="1321"/>
      <c r="AJ39" s="1321"/>
      <c r="AK39" s="1321"/>
      <c r="AL39" s="1323"/>
    </row>
    <row r="40" spans="2:38" ht="20.25" customHeight="1">
      <c r="B40" s="1286" t="s">
        <v>1618</v>
      </c>
      <c r="C40" s="1151" t="s">
        <v>1629</v>
      </c>
      <c r="D40" s="1149" t="str">
        <f>IF(OR(C20="",C18="",C23=""),"「地域特性」、「工種」又は「除雪補正」が未入力のため計算エラーです。","「共通仮設費の率分」（自動計算値）　=　"&amp;TEXT(B30,"0,000")&amp;" × ( "&amp;TEXT(C33,"0.00 %")&amp;"　☓　"&amp;D23&amp;"　＋　"&amp;TEXT(D20,"0.00 %")&amp;" )")</f>
        <v>「地域特性」、「工種」又は「除雪補正」が未入力のため計算エラーです。</v>
      </c>
      <c r="J40" s="1189">
        <v>2</v>
      </c>
      <c r="K40" s="1158" t="s">
        <v>1203</v>
      </c>
      <c r="L40" s="1159">
        <v>6000</v>
      </c>
      <c r="M40" s="1160">
        <v>2000000</v>
      </c>
      <c r="N40" s="1161">
        <v>357.8</v>
      </c>
      <c r="O40" s="1162">
        <v>-0.2223</v>
      </c>
      <c r="P40" s="1217"/>
      <c r="Q40" s="1217"/>
      <c r="R40" s="1218"/>
      <c r="S40" s="1219"/>
      <c r="T40" s="1219"/>
      <c r="U40" s="1219"/>
      <c r="V40" s="1219"/>
      <c r="W40" s="1219"/>
      <c r="X40" s="1219"/>
      <c r="Y40" s="1219"/>
      <c r="Z40" s="1219"/>
      <c r="AA40" s="1219"/>
      <c r="AB40" s="1220"/>
      <c r="AC40" s="1219"/>
      <c r="AD40" s="1219"/>
      <c r="AE40" s="1219"/>
      <c r="AF40" s="1219"/>
      <c r="AG40" s="1220">
        <v>0.02</v>
      </c>
      <c r="AH40" s="1219">
        <v>1.4999999999999999E-2</v>
      </c>
      <c r="AI40" s="1219">
        <v>0.01</v>
      </c>
      <c r="AJ40" s="1219">
        <v>1.4999999999999999E-2</v>
      </c>
      <c r="AK40" s="1219">
        <v>0</v>
      </c>
      <c r="AL40" s="1238">
        <v>8.0000000000000002E-3</v>
      </c>
    </row>
    <row r="41" spans="2:38" ht="20.25" customHeight="1">
      <c r="B41" s="1286" t="s">
        <v>1619</v>
      </c>
      <c r="C41" s="1151" t="s">
        <v>1630</v>
      </c>
      <c r="D41" s="1149" t="str">
        <f>IF(OR(C20="",C18=""),"「地域特性」又は「工種」が未入力のため計算エラーです。","「共通仮設費の率分」（自動計算値）　=　"&amp;TEXT(B30,"0,000")&amp;" × ( "&amp;TEXT(C33,"0.00 %")&amp;"　☓　"&amp;TEXT(D21,"0.0")&amp;" )")</f>
        <v>「地域特性」又は「工種」が未入力のため計算エラーです。</v>
      </c>
      <c r="J41" s="1329">
        <v>2</v>
      </c>
      <c r="K41" s="1330" t="s">
        <v>1204</v>
      </c>
      <c r="L41" s="1331">
        <v>6000</v>
      </c>
      <c r="M41" s="1332">
        <v>2000000</v>
      </c>
      <c r="N41" s="1333">
        <v>132.69999999999999</v>
      </c>
      <c r="O41" s="1334">
        <v>-0.1802</v>
      </c>
      <c r="P41" s="1319"/>
      <c r="Q41" s="1319"/>
      <c r="R41" s="1320"/>
      <c r="S41" s="1321"/>
      <c r="T41" s="1321"/>
      <c r="U41" s="1321"/>
      <c r="V41" s="1321"/>
      <c r="W41" s="1321"/>
      <c r="X41" s="1321"/>
      <c r="Y41" s="1321"/>
      <c r="Z41" s="1321"/>
      <c r="AA41" s="1321"/>
      <c r="AB41" s="1322"/>
      <c r="AC41" s="1321"/>
      <c r="AD41" s="1321"/>
      <c r="AE41" s="1321"/>
      <c r="AF41" s="1321"/>
      <c r="AG41" s="1322">
        <v>0.02</v>
      </c>
      <c r="AH41" s="1321">
        <v>1.4999999999999999E-2</v>
      </c>
      <c r="AI41" s="1321">
        <v>0.01</v>
      </c>
      <c r="AJ41" s="1321">
        <v>1.4999999999999999E-2</v>
      </c>
      <c r="AK41" s="1321">
        <v>0</v>
      </c>
      <c r="AL41" s="1323">
        <v>6.0000000000000001E-3</v>
      </c>
    </row>
    <row r="42" spans="2:38" ht="20.25" customHeight="1">
      <c r="B42" s="1286" t="s">
        <v>1620</v>
      </c>
      <c r="C42" s="1151" t="s">
        <v>1631</v>
      </c>
      <c r="D42" s="1149" t="str">
        <f>IF(OR(C20="",C18="",C23=""),"「地域特性」、「工種」又は「除雪補正」が未入力のため計算エラーです。","「共通仮設費の率分」（自動計算値）　=　"&amp;TEXT(B30,"0,000")&amp;" × ( "&amp;TEXT(C33,"0.00 %")&amp;"　☓　"&amp;D23&amp;"　＋　"&amp;TEXT(C33,"0.00 %")&amp;"　×　"&amp;TEXT(D21,"0.0")&amp;"　-　"&amp;TEXT(C33,"0.00 %")&amp; " )")</f>
        <v>「地域特性」、「工種」又は「除雪補正」が未入力のため計算エラーです。</v>
      </c>
      <c r="J42" s="1329">
        <v>2</v>
      </c>
      <c r="K42" s="1330" t="s">
        <v>1578</v>
      </c>
      <c r="L42" s="1335">
        <v>6000</v>
      </c>
      <c r="M42" s="1336">
        <v>1000000</v>
      </c>
      <c r="N42" s="1337">
        <v>407.9</v>
      </c>
      <c r="O42" s="1338">
        <v>-0.22040000000000001</v>
      </c>
      <c r="P42" s="1339"/>
      <c r="Q42" s="1339"/>
      <c r="R42" s="1340"/>
      <c r="S42" s="1341"/>
      <c r="T42" s="1341"/>
      <c r="U42" s="1341"/>
      <c r="V42" s="1341"/>
      <c r="W42" s="1341"/>
      <c r="X42" s="1341"/>
      <c r="Y42" s="1341"/>
      <c r="Z42" s="1341"/>
      <c r="AA42" s="1341"/>
      <c r="AB42" s="1342"/>
      <c r="AC42" s="1341"/>
      <c r="AD42" s="1341"/>
      <c r="AE42" s="1341"/>
      <c r="AF42" s="1341"/>
      <c r="AG42" s="1342">
        <v>0.02</v>
      </c>
      <c r="AH42" s="1341">
        <v>1.4999999999999999E-2</v>
      </c>
      <c r="AI42" s="1341">
        <v>0.01</v>
      </c>
      <c r="AJ42" s="1341">
        <v>1.4999999999999999E-2</v>
      </c>
      <c r="AK42" s="1341">
        <v>0</v>
      </c>
      <c r="AL42" s="1343">
        <v>6.0000000000000001E-3</v>
      </c>
    </row>
    <row r="43" spans="2:38" ht="20.25" customHeight="1">
      <c r="B43" s="1286" t="s">
        <v>1621</v>
      </c>
      <c r="C43" s="1151" t="s">
        <v>1632</v>
      </c>
      <c r="D43" s="1149" t="str">
        <f>IF(OR(C20="",C18="",C24=""),"「地域特性」、「工種」又は「仮設営繕・敷地貸与補正」が未入力のため計算エラーです。","「共通仮設費の率分」（自動計算値）　=　"&amp;TEXT(B30,"0,000")&amp;" × (( "&amp;TEXT(C33,"0.00 %")&amp;"　＋　"&amp;D20&amp;" %)　☓　"&amp;D24&amp;" )")</f>
        <v>「地域特性」、「工種」又は「仮設営繕・敷地貸与補正」が未入力のため計算エラーです。</v>
      </c>
      <c r="J43" s="1329">
        <v>2</v>
      </c>
      <c r="K43" s="1330" t="s">
        <v>1579</v>
      </c>
      <c r="L43" s="1331">
        <v>6000</v>
      </c>
      <c r="M43" s="1332">
        <v>2000000</v>
      </c>
      <c r="N43" s="1333">
        <v>357.8</v>
      </c>
      <c r="O43" s="1334">
        <v>-0.2223</v>
      </c>
      <c r="P43" s="1319"/>
      <c r="Q43" s="1319"/>
      <c r="R43" s="1320"/>
      <c r="S43" s="1321"/>
      <c r="T43" s="1321"/>
      <c r="U43" s="1321"/>
      <c r="V43" s="1321"/>
      <c r="W43" s="1321"/>
      <c r="X43" s="1321"/>
      <c r="Y43" s="1321"/>
      <c r="Z43" s="1321"/>
      <c r="AA43" s="1321"/>
      <c r="AB43" s="1322"/>
      <c r="AC43" s="1321"/>
      <c r="AD43" s="1321"/>
      <c r="AE43" s="1321"/>
      <c r="AF43" s="1321"/>
      <c r="AG43" s="1322">
        <v>0.02</v>
      </c>
      <c r="AH43" s="1321">
        <v>1.4999999999999999E-2</v>
      </c>
      <c r="AI43" s="1321">
        <v>0.01</v>
      </c>
      <c r="AJ43" s="1321">
        <v>1.4999999999999999E-2</v>
      </c>
      <c r="AK43" s="1321">
        <v>0</v>
      </c>
      <c r="AL43" s="1323">
        <v>8.0000000000000002E-3</v>
      </c>
    </row>
    <row r="44" spans="2:38" ht="20.25" customHeight="1">
      <c r="B44" s="1287" t="s">
        <v>1622</v>
      </c>
      <c r="C44" s="1151" t="s">
        <v>1633</v>
      </c>
      <c r="D44" s="1149" t="str">
        <f>IF(OR(C20="",C18=""),"「地域特性」又は「工種」が未入力のため計算エラーです。","「共通仮設費の率分」（自動計算値）　=　"&amp;TEXT(B30,"0,000")&amp;" × ( "&amp;TEXT(C33,"0.00 %")&amp;"　＋　"&amp;TEXT(D20,"0.00 %")&amp;" )　×　1.5")</f>
        <v>「地域特性」又は「工種」が未入力のため計算エラーです。</v>
      </c>
      <c r="J44" s="1329">
        <v>2</v>
      </c>
      <c r="K44" s="1330" t="s">
        <v>1580</v>
      </c>
      <c r="L44" s="1331">
        <v>6000</v>
      </c>
      <c r="M44" s="1332">
        <v>2000000</v>
      </c>
      <c r="N44" s="1333">
        <v>132.69999999999999</v>
      </c>
      <c r="O44" s="1334">
        <v>-0.1802</v>
      </c>
      <c r="P44" s="1319"/>
      <c r="Q44" s="1319"/>
      <c r="R44" s="1320"/>
      <c r="S44" s="1321"/>
      <c r="T44" s="1321"/>
      <c r="U44" s="1321"/>
      <c r="V44" s="1321"/>
      <c r="W44" s="1321"/>
      <c r="X44" s="1321"/>
      <c r="Y44" s="1321"/>
      <c r="Z44" s="1321"/>
      <c r="AA44" s="1321"/>
      <c r="AB44" s="1322"/>
      <c r="AC44" s="1321"/>
      <c r="AD44" s="1321"/>
      <c r="AE44" s="1321"/>
      <c r="AF44" s="1321"/>
      <c r="AG44" s="1322">
        <v>0.02</v>
      </c>
      <c r="AH44" s="1321">
        <v>1.4999999999999999E-2</v>
      </c>
      <c r="AI44" s="1321">
        <v>0.01</v>
      </c>
      <c r="AJ44" s="1321">
        <v>1.4999999999999999E-2</v>
      </c>
      <c r="AK44" s="1321">
        <v>0</v>
      </c>
      <c r="AL44" s="1323">
        <v>6.0000000000000001E-3</v>
      </c>
    </row>
    <row r="45" spans="2:38" ht="20.25" customHeight="1">
      <c r="B45" s="1287" t="s">
        <v>1623</v>
      </c>
      <c r="C45" s="1151" t="s">
        <v>1634</v>
      </c>
      <c r="D45" s="1149" t="str">
        <f>IF(OR(C20="",C18=""),"「地域特性」又は「工種」が未入力のため計算エラーです。","「共通仮設費の率分」（自動計算値）　=　"&amp;TEXT(B30,"0,000")&amp;" × ( "&amp;TEXT(C33,"0.00 %")&amp;"　＋　"&amp;TEXT(D20,"0.00 %")&amp;"　＋　"&amp;TEXT(D26,"0.00 %")&amp;" )　×　1.5")</f>
        <v>「地域特性」又は「工種」が未入力のため計算エラーです。</v>
      </c>
      <c r="J45" s="1329">
        <v>2</v>
      </c>
      <c r="K45" s="1330" t="s">
        <v>1661</v>
      </c>
      <c r="L45" s="1331">
        <v>6000</v>
      </c>
      <c r="M45" s="1332">
        <v>1000000</v>
      </c>
      <c r="N45" s="1333">
        <v>407.9</v>
      </c>
      <c r="O45" s="1334">
        <v>-0.22040000000000001</v>
      </c>
      <c r="P45" s="1319"/>
      <c r="Q45" s="1319"/>
      <c r="R45" s="1320"/>
      <c r="S45" s="1321"/>
      <c r="T45" s="1321"/>
      <c r="U45" s="1321"/>
      <c r="V45" s="1321"/>
      <c r="W45" s="1321"/>
      <c r="X45" s="1321"/>
      <c r="Y45" s="1321"/>
      <c r="Z45" s="1321"/>
      <c r="AA45" s="1321"/>
      <c r="AB45" s="1322"/>
      <c r="AC45" s="1321"/>
      <c r="AD45" s="1321"/>
      <c r="AE45" s="1321"/>
      <c r="AF45" s="1321"/>
      <c r="AG45" s="1322">
        <v>0.02</v>
      </c>
      <c r="AH45" s="1321">
        <v>1.4999999999999999E-2</v>
      </c>
      <c r="AI45" s="1321">
        <v>0.01</v>
      </c>
      <c r="AJ45" s="1321">
        <v>1.4999999999999999E-2</v>
      </c>
      <c r="AK45" s="1321">
        <v>0</v>
      </c>
      <c r="AL45" s="1323">
        <v>6.0000000000000001E-3</v>
      </c>
    </row>
    <row r="46" spans="2:38" ht="20.25" customHeight="1">
      <c r="B46" s="1287" t="s">
        <v>1624</v>
      </c>
      <c r="C46" s="1151" t="s">
        <v>1635</v>
      </c>
      <c r="D46" s="1149" t="str">
        <f>IF(OR(C20="",C18="",C23=""),"「地域特性」、「工種」又は「除雪補正」が未入力のため計算エラーです。","「共通仮設費の率分」（自動計算値）　=　"&amp;TEXT(B30,"0,000")&amp;" × ( "&amp;TEXT(C33,"0.00 %")&amp;"　☓　"&amp;D23&amp;"　＋　"&amp;TEXT(D20,"0.00 %")&amp;" )　×　1.5")</f>
        <v>「地域特性」、「工種」又は「除雪補正」が未入力のため計算エラーです。</v>
      </c>
      <c r="J46" s="1329">
        <v>2</v>
      </c>
      <c r="K46" s="1330" t="s">
        <v>1662</v>
      </c>
      <c r="L46" s="1331">
        <v>6000</v>
      </c>
      <c r="M46" s="1332">
        <v>400000</v>
      </c>
      <c r="N46" s="1333">
        <v>1420.4</v>
      </c>
      <c r="O46" s="1334">
        <v>-0.34899999999999998</v>
      </c>
      <c r="P46" s="1319"/>
      <c r="Q46" s="1319"/>
      <c r="R46" s="1320"/>
      <c r="S46" s="1321"/>
      <c r="T46" s="1321"/>
      <c r="U46" s="1321"/>
      <c r="V46" s="1321"/>
      <c r="W46" s="1321"/>
      <c r="X46" s="1321"/>
      <c r="Y46" s="1321"/>
      <c r="Z46" s="1321"/>
      <c r="AA46" s="1321"/>
      <c r="AB46" s="1322"/>
      <c r="AC46" s="1321"/>
      <c r="AD46" s="1321"/>
      <c r="AE46" s="1321"/>
      <c r="AF46" s="1321"/>
      <c r="AG46" s="1322">
        <v>0.02</v>
      </c>
      <c r="AH46" s="1321">
        <v>1.4999999999999999E-2</v>
      </c>
      <c r="AI46" s="1321">
        <v>0.01</v>
      </c>
      <c r="AJ46" s="1321">
        <v>1.4999999999999999E-2</v>
      </c>
      <c r="AK46" s="1321">
        <v>0</v>
      </c>
      <c r="AL46" s="1323"/>
    </row>
    <row r="47" spans="2:38" ht="20.25" customHeight="1" thickBot="1">
      <c r="B47" s="1287" t="s">
        <v>1625</v>
      </c>
      <c r="C47" s="1151" t="s">
        <v>1636</v>
      </c>
      <c r="D47" s="1149" t="str">
        <f>IF(OR(C20="",C18=""),"「地域特性」又は「工種」が未入力のため計算エラーです。","「共通仮設費の率分」（自動計算値）　=　"&amp;TEXT(B30,"0,000")&amp;" × ( "&amp;TEXT(C33,"0.00 %")&amp;"　☓　"&amp;TEXT(D21,"0.0")&amp;" )　×　1.5")</f>
        <v>「地域特性」又は「工種」が未入力のため計算エラーです。</v>
      </c>
      <c r="J47" s="1329">
        <v>2</v>
      </c>
      <c r="K47" s="1330" t="s">
        <v>1663</v>
      </c>
      <c r="L47" s="1331">
        <v>6000</v>
      </c>
      <c r="M47" s="1332">
        <v>1000000</v>
      </c>
      <c r="N47" s="1325">
        <v>1228.3</v>
      </c>
      <c r="O47" s="1326">
        <v>-0.26140000000000002</v>
      </c>
      <c r="P47" s="1319"/>
      <c r="Q47" s="1319"/>
      <c r="R47" s="1320"/>
      <c r="S47" s="1321"/>
      <c r="T47" s="1321"/>
      <c r="U47" s="1321"/>
      <c r="V47" s="1321"/>
      <c r="W47" s="1321"/>
      <c r="X47" s="1321"/>
      <c r="Y47" s="1321"/>
      <c r="Z47" s="1321"/>
      <c r="AA47" s="1321"/>
      <c r="AB47" s="1322"/>
      <c r="AC47" s="1321"/>
      <c r="AD47" s="1321"/>
      <c r="AE47" s="1321"/>
      <c r="AF47" s="1321"/>
      <c r="AG47" s="1322">
        <v>0.02</v>
      </c>
      <c r="AH47" s="1321">
        <v>1.4999999999999999E-2</v>
      </c>
      <c r="AI47" s="1321">
        <v>0.01</v>
      </c>
      <c r="AJ47" s="1321">
        <v>1.4999999999999999E-2</v>
      </c>
      <c r="AK47" s="1321">
        <v>0</v>
      </c>
      <c r="AL47" s="1323"/>
    </row>
    <row r="48" spans="2:38" ht="20.25" customHeight="1">
      <c r="B48" s="1287" t="s">
        <v>1626</v>
      </c>
      <c r="C48" s="1151" t="s">
        <v>1637</v>
      </c>
      <c r="D48" s="1149" t="str">
        <f>IF(OR(C20="",C18="",C23=""),"「地域特性」、「工種」又は「除雪補正」が未入力のため計算エラーです。","「共通仮設費の率分」（自動計算値）　=　"&amp;TEXT(B30,"0,000")&amp;" × ( "&amp;TEXT(C33,"0.00 %")&amp;"　☓　"&amp;D23&amp;"　＋　"&amp;TEXT(C33,"0.00 %")&amp;"　×　"&amp;TEXT(D21,"0.0")&amp;"　-　"&amp;TEXT(C33,"0.00 %")&amp; " )　☓　1.5")</f>
        <v>「地域特性」、「工種」又は「除雪補正」が未入力のため計算エラーです。</v>
      </c>
      <c r="J48" s="1190">
        <v>3</v>
      </c>
      <c r="K48" s="1163" t="s">
        <v>1205</v>
      </c>
      <c r="L48" s="1164">
        <v>5000</v>
      </c>
      <c r="M48" s="1165">
        <v>5000000</v>
      </c>
      <c r="N48" s="1166">
        <v>664.4</v>
      </c>
      <c r="O48" s="1167">
        <v>-0.2482</v>
      </c>
      <c r="P48" s="1217"/>
      <c r="Q48" s="1217"/>
      <c r="R48" s="1218"/>
      <c r="S48" s="1219"/>
      <c r="T48" s="1219"/>
      <c r="U48" s="1219"/>
      <c r="V48" s="1219"/>
      <c r="W48" s="1219"/>
      <c r="X48" s="1219"/>
      <c r="Y48" s="1219"/>
      <c r="Z48" s="1219"/>
      <c r="AA48" s="1219"/>
      <c r="AB48" s="1220">
        <v>0.02</v>
      </c>
      <c r="AC48" s="1219">
        <v>0.01</v>
      </c>
      <c r="AD48" s="1219">
        <v>1.4999999999999999E-2</v>
      </c>
      <c r="AE48" s="1219"/>
      <c r="AF48" s="1219">
        <v>0</v>
      </c>
      <c r="AG48" s="1220"/>
      <c r="AH48" s="1219"/>
      <c r="AI48" s="1219"/>
      <c r="AJ48" s="1219"/>
      <c r="AK48" s="1219"/>
      <c r="AL48" s="1238"/>
    </row>
    <row r="49" spans="1:38" ht="20.25" customHeight="1">
      <c r="B49" s="1286"/>
      <c r="J49" s="1344">
        <v>3</v>
      </c>
      <c r="K49" s="1345" t="s">
        <v>1581</v>
      </c>
      <c r="L49" s="1346">
        <v>5000</v>
      </c>
      <c r="M49" s="1347">
        <v>2000000</v>
      </c>
      <c r="N49" s="1348">
        <v>608.70000000000005</v>
      </c>
      <c r="O49" s="1349">
        <v>-0.24379999999999999</v>
      </c>
      <c r="P49" s="1319"/>
      <c r="Q49" s="1319"/>
      <c r="R49" s="1320"/>
      <c r="S49" s="1321"/>
      <c r="T49" s="1321"/>
      <c r="U49" s="1321"/>
      <c r="V49" s="1321"/>
      <c r="W49" s="1321"/>
      <c r="X49" s="1321"/>
      <c r="Y49" s="1321"/>
      <c r="Z49" s="1321"/>
      <c r="AA49" s="1321"/>
      <c r="AB49" s="1322">
        <v>0.02</v>
      </c>
      <c r="AC49" s="1321">
        <v>0.01</v>
      </c>
      <c r="AD49" s="1321">
        <v>1.4999999999999999E-2</v>
      </c>
      <c r="AE49" s="1321"/>
      <c r="AF49" s="1321">
        <v>0</v>
      </c>
      <c r="AG49" s="1322"/>
      <c r="AH49" s="1321"/>
      <c r="AI49" s="1321"/>
      <c r="AJ49" s="1321"/>
      <c r="AK49" s="1321"/>
      <c r="AL49" s="1323"/>
    </row>
    <row r="50" spans="1:38" ht="20.25" customHeight="1">
      <c r="A50" s="87"/>
      <c r="B50" s="1151"/>
      <c r="J50" s="1344">
        <v>3</v>
      </c>
      <c r="K50" s="1345" t="s">
        <v>1582</v>
      </c>
      <c r="L50" s="1346">
        <v>5000</v>
      </c>
      <c r="M50" s="1347">
        <v>2000000</v>
      </c>
      <c r="N50" s="1348">
        <v>608.70000000000005</v>
      </c>
      <c r="O50" s="1349">
        <v>-0.24379999999999999</v>
      </c>
      <c r="P50" s="1319"/>
      <c r="Q50" s="1319"/>
      <c r="R50" s="1320"/>
      <c r="S50" s="1321"/>
      <c r="T50" s="1321"/>
      <c r="U50" s="1321"/>
      <c r="V50" s="1321"/>
      <c r="W50" s="1321"/>
      <c r="X50" s="1321"/>
      <c r="Y50" s="1321"/>
      <c r="Z50" s="1321"/>
      <c r="AA50" s="1321"/>
      <c r="AB50" s="1322">
        <v>0.02</v>
      </c>
      <c r="AC50" s="1321">
        <v>0.01</v>
      </c>
      <c r="AD50" s="1321">
        <v>1.4999999999999999E-2</v>
      </c>
      <c r="AE50" s="1321"/>
      <c r="AF50" s="1321">
        <v>0</v>
      </c>
      <c r="AG50" s="1322"/>
      <c r="AH50" s="1321"/>
      <c r="AI50" s="1321"/>
      <c r="AJ50" s="1321"/>
      <c r="AK50" s="1321"/>
      <c r="AL50" s="1323"/>
    </row>
    <row r="51" spans="1:38" ht="20.25" customHeight="1">
      <c r="J51" s="1344">
        <v>3</v>
      </c>
      <c r="K51" s="1345" t="s">
        <v>1664</v>
      </c>
      <c r="L51" s="1346">
        <v>5000</v>
      </c>
      <c r="M51" s="1347">
        <v>200000</v>
      </c>
      <c r="N51" s="1348">
        <v>127.6</v>
      </c>
      <c r="O51" s="1349">
        <v>-0.1915</v>
      </c>
      <c r="P51" s="1319"/>
      <c r="Q51" s="1319"/>
      <c r="R51" s="1320"/>
      <c r="S51" s="1321"/>
      <c r="T51" s="1321"/>
      <c r="U51" s="1321"/>
      <c r="V51" s="1321"/>
      <c r="W51" s="1321"/>
      <c r="X51" s="1321"/>
      <c r="Y51" s="1321"/>
      <c r="Z51" s="1321"/>
      <c r="AA51" s="1321"/>
      <c r="AB51" s="1322">
        <v>0.02</v>
      </c>
      <c r="AC51" s="1321">
        <v>0.01</v>
      </c>
      <c r="AD51" s="1321">
        <v>1.4999999999999999E-2</v>
      </c>
      <c r="AE51" s="1321"/>
      <c r="AF51" s="1321">
        <v>0</v>
      </c>
      <c r="AG51" s="1322"/>
      <c r="AH51" s="1321"/>
      <c r="AI51" s="1321"/>
      <c r="AJ51" s="1321"/>
      <c r="AK51" s="1321"/>
      <c r="AL51" s="1323"/>
    </row>
    <row r="52" spans="1:38" ht="20.25" customHeight="1" thickBot="1">
      <c r="B52" s="1151"/>
      <c r="J52" s="1344">
        <v>3</v>
      </c>
      <c r="K52" s="1345" t="s">
        <v>1665</v>
      </c>
      <c r="L52" s="1346">
        <v>5000</v>
      </c>
      <c r="M52" s="1347">
        <v>200000</v>
      </c>
      <c r="N52" s="1348">
        <v>127.6</v>
      </c>
      <c r="O52" s="1349">
        <v>-0.1915</v>
      </c>
      <c r="P52" s="1319"/>
      <c r="Q52" s="1319"/>
      <c r="R52" s="1320"/>
      <c r="S52" s="1321"/>
      <c r="T52" s="1321"/>
      <c r="U52" s="1321"/>
      <c r="V52" s="1321"/>
      <c r="W52" s="1321"/>
      <c r="X52" s="1321"/>
      <c r="Y52" s="1321"/>
      <c r="Z52" s="1321"/>
      <c r="AA52" s="1321"/>
      <c r="AB52" s="1322">
        <v>0.02</v>
      </c>
      <c r="AC52" s="1321">
        <v>0.01</v>
      </c>
      <c r="AD52" s="1321">
        <v>1.4999999999999999E-2</v>
      </c>
      <c r="AE52" s="1321"/>
      <c r="AF52" s="1321">
        <v>0</v>
      </c>
      <c r="AG52" s="1322"/>
      <c r="AH52" s="1321"/>
      <c r="AI52" s="1321"/>
      <c r="AJ52" s="1321"/>
      <c r="AK52" s="1321"/>
      <c r="AL52" s="1323"/>
    </row>
    <row r="53" spans="1:38" ht="20.25" customHeight="1">
      <c r="J53" s="1191">
        <v>4</v>
      </c>
      <c r="K53" s="1178" t="s">
        <v>1194</v>
      </c>
      <c r="L53" s="1179">
        <v>3000</v>
      </c>
      <c r="M53" s="1180">
        <v>1000000</v>
      </c>
      <c r="N53" s="1181">
        <v>75.099999999999994</v>
      </c>
      <c r="O53" s="1182">
        <v>-0.12470000000000001</v>
      </c>
      <c r="P53" s="1221"/>
      <c r="Q53" s="1221"/>
      <c r="R53" s="1222"/>
      <c r="S53" s="1223"/>
      <c r="T53" s="1223"/>
      <c r="U53" s="1223"/>
      <c r="V53" s="1223"/>
      <c r="W53" s="1223"/>
      <c r="X53" s="1223"/>
      <c r="Y53" s="1223"/>
      <c r="Z53" s="1223"/>
      <c r="AA53" s="1223"/>
      <c r="AB53" s="1224">
        <v>0.02</v>
      </c>
      <c r="AC53" s="1223">
        <v>0.01</v>
      </c>
      <c r="AD53" s="1223">
        <v>1.4999999999999999E-2</v>
      </c>
      <c r="AE53" s="1223"/>
      <c r="AF53" s="1223">
        <v>0</v>
      </c>
      <c r="AG53" s="1224"/>
      <c r="AH53" s="1223"/>
      <c r="AI53" s="1223"/>
      <c r="AJ53" s="1223"/>
      <c r="AK53" s="1223"/>
      <c r="AL53" s="1239"/>
    </row>
    <row r="54" spans="1:38" ht="20.25" customHeight="1">
      <c r="B54" s="1151"/>
      <c r="J54" s="1350">
        <v>4</v>
      </c>
      <c r="K54" s="1351" t="s">
        <v>1195</v>
      </c>
      <c r="L54" s="1352">
        <v>3000</v>
      </c>
      <c r="M54" s="1353">
        <v>1000000</v>
      </c>
      <c r="N54" s="1354">
        <v>98</v>
      </c>
      <c r="O54" s="1355">
        <v>-0.13039999999999999</v>
      </c>
      <c r="P54" s="1339"/>
      <c r="Q54" s="1339"/>
      <c r="R54" s="1340"/>
      <c r="S54" s="1341"/>
      <c r="T54" s="1341"/>
      <c r="U54" s="1341"/>
      <c r="V54" s="1341"/>
      <c r="W54" s="1341"/>
      <c r="X54" s="1341"/>
      <c r="Y54" s="1341"/>
      <c r="Z54" s="1341"/>
      <c r="AA54" s="1341"/>
      <c r="AB54" s="1342">
        <v>0.02</v>
      </c>
      <c r="AC54" s="1341">
        <v>0.01</v>
      </c>
      <c r="AD54" s="1341">
        <v>1.4999999999999999E-2</v>
      </c>
      <c r="AE54" s="1341"/>
      <c r="AF54" s="1341">
        <v>0</v>
      </c>
      <c r="AG54" s="1342"/>
      <c r="AH54" s="1341"/>
      <c r="AI54" s="1341"/>
      <c r="AJ54" s="1341"/>
      <c r="AK54" s="1341"/>
      <c r="AL54" s="1343"/>
    </row>
    <row r="55" spans="1:38" ht="20.25" customHeight="1">
      <c r="B55" s="47"/>
      <c r="J55" s="1350">
        <v>4</v>
      </c>
      <c r="K55" s="1351" t="s">
        <v>1196</v>
      </c>
      <c r="L55" s="1352">
        <v>3000</v>
      </c>
      <c r="M55" s="1353">
        <v>1000000</v>
      </c>
      <c r="N55" s="1354">
        <v>76.099999999999994</v>
      </c>
      <c r="O55" s="1355">
        <v>-0.1166</v>
      </c>
      <c r="P55" s="1339"/>
      <c r="Q55" s="1339"/>
      <c r="R55" s="1340"/>
      <c r="S55" s="1341"/>
      <c r="T55" s="1341"/>
      <c r="U55" s="1341"/>
      <c r="V55" s="1341"/>
      <c r="W55" s="1341"/>
      <c r="X55" s="1341"/>
      <c r="Y55" s="1341"/>
      <c r="Z55" s="1341"/>
      <c r="AA55" s="1341"/>
      <c r="AB55" s="1342">
        <v>0.02</v>
      </c>
      <c r="AC55" s="1341">
        <v>0.01</v>
      </c>
      <c r="AD55" s="1341">
        <v>1.4999999999999999E-2</v>
      </c>
      <c r="AE55" s="1341"/>
      <c r="AF55" s="1341">
        <v>0</v>
      </c>
      <c r="AG55" s="1342"/>
      <c r="AH55" s="1341"/>
      <c r="AI55" s="1341"/>
      <c r="AJ55" s="1341"/>
      <c r="AK55" s="1341"/>
      <c r="AL55" s="1343"/>
    </row>
    <row r="56" spans="1:38" ht="20.25" customHeight="1">
      <c r="B56" s="1151"/>
      <c r="J56" s="1350">
        <v>4</v>
      </c>
      <c r="K56" s="1351" t="s">
        <v>1197</v>
      </c>
      <c r="L56" s="1352">
        <v>3000</v>
      </c>
      <c r="M56" s="1353">
        <v>1000000</v>
      </c>
      <c r="N56" s="1354">
        <v>403.7</v>
      </c>
      <c r="O56" s="1355">
        <v>-0.19769999999999999</v>
      </c>
      <c r="P56" s="1339"/>
      <c r="Q56" s="1339"/>
      <c r="R56" s="1340"/>
      <c r="S56" s="1341"/>
      <c r="T56" s="1341"/>
      <c r="U56" s="1341"/>
      <c r="V56" s="1341"/>
      <c r="W56" s="1341"/>
      <c r="X56" s="1341"/>
      <c r="Y56" s="1341"/>
      <c r="Z56" s="1341"/>
      <c r="AA56" s="1341"/>
      <c r="AB56" s="1342">
        <v>0.02</v>
      </c>
      <c r="AC56" s="1341">
        <v>0.01</v>
      </c>
      <c r="AD56" s="1341">
        <v>1.4999999999999999E-2</v>
      </c>
      <c r="AE56" s="1341"/>
      <c r="AF56" s="1341">
        <v>0</v>
      </c>
      <c r="AG56" s="1342"/>
      <c r="AH56" s="1341"/>
      <c r="AI56" s="1341"/>
      <c r="AJ56" s="1341"/>
      <c r="AK56" s="1341"/>
      <c r="AL56" s="1343"/>
    </row>
    <row r="57" spans="1:38" ht="20.25" customHeight="1">
      <c r="B57" s="1151"/>
      <c r="J57" s="1350">
        <v>4</v>
      </c>
      <c r="K57" s="1351" t="s">
        <v>1198</v>
      </c>
      <c r="L57" s="1356">
        <v>3000</v>
      </c>
      <c r="M57" s="1353">
        <v>1000000</v>
      </c>
      <c r="N57" s="1354">
        <v>56.5</v>
      </c>
      <c r="O57" s="1355">
        <v>-0.1106</v>
      </c>
      <c r="P57" s="1339"/>
      <c r="Q57" s="1339"/>
      <c r="R57" s="1340"/>
      <c r="S57" s="1341"/>
      <c r="T57" s="1341"/>
      <c r="U57" s="1341"/>
      <c r="V57" s="1341"/>
      <c r="W57" s="1341"/>
      <c r="X57" s="1341"/>
      <c r="Y57" s="1341"/>
      <c r="Z57" s="1341"/>
      <c r="AA57" s="1341"/>
      <c r="AB57" s="1342">
        <v>0.02</v>
      </c>
      <c r="AC57" s="1341">
        <v>0.01</v>
      </c>
      <c r="AD57" s="1341">
        <v>1.4999999999999999E-2</v>
      </c>
      <c r="AE57" s="1341"/>
      <c r="AF57" s="1341">
        <v>0</v>
      </c>
      <c r="AG57" s="1342"/>
      <c r="AH57" s="1341"/>
      <c r="AI57" s="1341"/>
      <c r="AJ57" s="1341"/>
      <c r="AK57" s="1341"/>
      <c r="AL57" s="1343"/>
    </row>
    <row r="58" spans="1:38" ht="20.25" customHeight="1">
      <c r="J58" s="1350">
        <v>4</v>
      </c>
      <c r="K58" s="1351" t="s">
        <v>1199</v>
      </c>
      <c r="L58" s="1352">
        <v>3000</v>
      </c>
      <c r="M58" s="1353">
        <v>1000000</v>
      </c>
      <c r="N58" s="1354">
        <v>66.400000000000006</v>
      </c>
      <c r="O58" s="1355">
        <v>-0.1168</v>
      </c>
      <c r="P58" s="1339"/>
      <c r="Q58" s="1339"/>
      <c r="R58" s="1340"/>
      <c r="S58" s="1341"/>
      <c r="T58" s="1341"/>
      <c r="U58" s="1341"/>
      <c r="V58" s="1341"/>
      <c r="W58" s="1341"/>
      <c r="X58" s="1341"/>
      <c r="Y58" s="1341"/>
      <c r="Z58" s="1341"/>
      <c r="AA58" s="1341"/>
      <c r="AB58" s="1342">
        <v>0.02</v>
      </c>
      <c r="AC58" s="1341">
        <v>0.01</v>
      </c>
      <c r="AD58" s="1341">
        <v>1.4999999999999999E-2</v>
      </c>
      <c r="AE58" s="1341"/>
      <c r="AF58" s="1341">
        <v>0</v>
      </c>
      <c r="AG58" s="1342"/>
      <c r="AH58" s="1341"/>
      <c r="AI58" s="1341"/>
      <c r="AJ58" s="1341"/>
      <c r="AK58" s="1341"/>
      <c r="AL58" s="1343"/>
    </row>
    <row r="59" spans="1:38" ht="20.25" customHeight="1">
      <c r="J59" s="1350">
        <v>4</v>
      </c>
      <c r="K59" s="1351" t="s">
        <v>1200</v>
      </c>
      <c r="L59" s="1352">
        <v>3000</v>
      </c>
      <c r="M59" s="1357">
        <v>1000000</v>
      </c>
      <c r="N59" s="1358">
        <v>98.9</v>
      </c>
      <c r="O59" s="1359">
        <v>-0.14030000000000001</v>
      </c>
      <c r="P59" s="1319"/>
      <c r="Q59" s="1319"/>
      <c r="R59" s="1320"/>
      <c r="S59" s="1321"/>
      <c r="T59" s="1321"/>
      <c r="U59" s="1321"/>
      <c r="V59" s="1321"/>
      <c r="W59" s="1321"/>
      <c r="X59" s="1321"/>
      <c r="Y59" s="1321"/>
      <c r="Z59" s="1321"/>
      <c r="AA59" s="1321"/>
      <c r="AB59" s="1322">
        <v>0.02</v>
      </c>
      <c r="AC59" s="1321">
        <v>0.01</v>
      </c>
      <c r="AD59" s="1321">
        <v>1.4999999999999999E-2</v>
      </c>
      <c r="AE59" s="1321"/>
      <c r="AF59" s="1321">
        <v>0</v>
      </c>
      <c r="AG59" s="1322"/>
      <c r="AH59" s="1321"/>
      <c r="AI59" s="1321"/>
      <c r="AJ59" s="1321"/>
      <c r="AK59" s="1321"/>
      <c r="AL59" s="1323"/>
    </row>
    <row r="60" spans="1:38" ht="20.25" customHeight="1">
      <c r="J60" s="1350">
        <v>4</v>
      </c>
      <c r="K60" s="1351" t="s">
        <v>1201</v>
      </c>
      <c r="L60" s="1356">
        <v>3000</v>
      </c>
      <c r="M60" s="1353">
        <v>1000000</v>
      </c>
      <c r="N60" s="1354">
        <v>39.799999999999997</v>
      </c>
      <c r="O60" s="1355">
        <v>-8.2799999999999999E-2</v>
      </c>
      <c r="P60" s="1339"/>
      <c r="Q60" s="1339"/>
      <c r="R60" s="1340"/>
      <c r="S60" s="1341"/>
      <c r="T60" s="1341"/>
      <c r="U60" s="1341"/>
      <c r="V60" s="1341"/>
      <c r="W60" s="1341"/>
      <c r="X60" s="1341"/>
      <c r="Y60" s="1341"/>
      <c r="Z60" s="1341"/>
      <c r="AA60" s="1341"/>
      <c r="AB60" s="1342">
        <v>0.02</v>
      </c>
      <c r="AC60" s="1341">
        <v>0.01</v>
      </c>
      <c r="AD60" s="1341">
        <v>1.4999999999999999E-2</v>
      </c>
      <c r="AE60" s="1341"/>
      <c r="AF60" s="1341">
        <v>0</v>
      </c>
      <c r="AG60" s="1342"/>
      <c r="AH60" s="1341"/>
      <c r="AI60" s="1341"/>
      <c r="AJ60" s="1341"/>
      <c r="AK60" s="1341"/>
      <c r="AL60" s="1343"/>
    </row>
    <row r="61" spans="1:38" ht="20.25" customHeight="1">
      <c r="J61" s="1350">
        <v>4</v>
      </c>
      <c r="K61" s="1351" t="s">
        <v>1583</v>
      </c>
      <c r="L61" s="1356">
        <v>3000</v>
      </c>
      <c r="M61" s="1353">
        <v>1000000</v>
      </c>
      <c r="N61" s="1354">
        <v>257.2</v>
      </c>
      <c r="O61" s="1355">
        <v>-0.1817</v>
      </c>
      <c r="P61" s="1339"/>
      <c r="Q61" s="1339"/>
      <c r="R61" s="1340"/>
      <c r="S61" s="1341"/>
      <c r="T61" s="1341"/>
      <c r="U61" s="1341"/>
      <c r="V61" s="1341"/>
      <c r="W61" s="1341"/>
      <c r="X61" s="1341"/>
      <c r="Y61" s="1341"/>
      <c r="Z61" s="1341"/>
      <c r="AA61" s="1341"/>
      <c r="AB61" s="1342">
        <v>0.02</v>
      </c>
      <c r="AC61" s="1341">
        <v>0.01</v>
      </c>
      <c r="AD61" s="1341">
        <v>1.4999999999999999E-2</v>
      </c>
      <c r="AE61" s="1341"/>
      <c r="AF61" s="1341">
        <v>0</v>
      </c>
      <c r="AG61" s="1342"/>
      <c r="AH61" s="1341"/>
      <c r="AI61" s="1341"/>
      <c r="AJ61" s="1341"/>
      <c r="AK61" s="1341"/>
      <c r="AL61" s="1343"/>
    </row>
    <row r="62" spans="1:38" ht="20.25" customHeight="1">
      <c r="J62" s="1350">
        <v>4</v>
      </c>
      <c r="K62" s="1351" t="s">
        <v>1584</v>
      </c>
      <c r="L62" s="1356">
        <v>3000</v>
      </c>
      <c r="M62" s="1353">
        <v>1000000</v>
      </c>
      <c r="N62" s="1354">
        <v>86</v>
      </c>
      <c r="O62" s="1355">
        <v>-0.12089999999999999</v>
      </c>
      <c r="P62" s="1339"/>
      <c r="Q62" s="1339"/>
      <c r="R62" s="1340"/>
      <c r="S62" s="1341"/>
      <c r="T62" s="1341"/>
      <c r="U62" s="1341"/>
      <c r="V62" s="1341"/>
      <c r="W62" s="1341"/>
      <c r="X62" s="1341"/>
      <c r="Y62" s="1341"/>
      <c r="Z62" s="1341"/>
      <c r="AA62" s="1341"/>
      <c r="AB62" s="1342">
        <v>0.02</v>
      </c>
      <c r="AC62" s="1341">
        <v>0.01</v>
      </c>
      <c r="AD62" s="1341">
        <v>1.4999999999999999E-2</v>
      </c>
      <c r="AE62" s="1341"/>
      <c r="AF62" s="1341">
        <v>0</v>
      </c>
      <c r="AG62" s="1342"/>
      <c r="AH62" s="1341"/>
      <c r="AI62" s="1341"/>
      <c r="AJ62" s="1341"/>
      <c r="AK62" s="1341"/>
      <c r="AL62" s="1343"/>
    </row>
    <row r="63" spans="1:38" ht="20.25" customHeight="1">
      <c r="J63" s="1350">
        <v>4</v>
      </c>
      <c r="K63" s="1351" t="s">
        <v>1585</v>
      </c>
      <c r="L63" s="1352">
        <v>6000</v>
      </c>
      <c r="M63" s="1357">
        <v>1000000</v>
      </c>
      <c r="N63" s="1354">
        <v>407.9</v>
      </c>
      <c r="O63" s="1355">
        <v>-0.22040000000000001</v>
      </c>
      <c r="P63" s="1339"/>
      <c r="Q63" s="1339"/>
      <c r="R63" s="1340"/>
      <c r="S63" s="1341"/>
      <c r="T63" s="1341"/>
      <c r="U63" s="1341"/>
      <c r="V63" s="1341"/>
      <c r="W63" s="1341"/>
      <c r="X63" s="1341"/>
      <c r="Y63" s="1341"/>
      <c r="Z63" s="1341"/>
      <c r="AA63" s="1341"/>
      <c r="AB63" s="1342">
        <v>0.02</v>
      </c>
      <c r="AC63" s="1341">
        <v>0.01</v>
      </c>
      <c r="AD63" s="1341">
        <v>1.4999999999999999E-2</v>
      </c>
      <c r="AE63" s="1341"/>
      <c r="AF63" s="1341">
        <v>0</v>
      </c>
      <c r="AG63" s="1342"/>
      <c r="AH63" s="1341"/>
      <c r="AI63" s="1341"/>
      <c r="AJ63" s="1341"/>
      <c r="AK63" s="1341"/>
      <c r="AL63" s="1343">
        <v>6.0000000000000001E-3</v>
      </c>
    </row>
    <row r="64" spans="1:38" ht="20.25" customHeight="1">
      <c r="J64" s="1350">
        <v>4</v>
      </c>
      <c r="K64" s="1351" t="s">
        <v>1586</v>
      </c>
      <c r="L64" s="1356">
        <v>6000</v>
      </c>
      <c r="M64" s="1353">
        <v>2000000</v>
      </c>
      <c r="N64" s="1354">
        <v>423.6</v>
      </c>
      <c r="O64" s="1355">
        <v>-0.2266</v>
      </c>
      <c r="P64" s="1339"/>
      <c r="Q64" s="1339"/>
      <c r="R64" s="1340"/>
      <c r="S64" s="1341"/>
      <c r="T64" s="1341"/>
      <c r="U64" s="1341"/>
      <c r="V64" s="1341"/>
      <c r="W64" s="1341"/>
      <c r="X64" s="1341"/>
      <c r="Y64" s="1341"/>
      <c r="Z64" s="1341"/>
      <c r="AA64" s="1341"/>
      <c r="AB64" s="1342">
        <v>0.02</v>
      </c>
      <c r="AC64" s="1341">
        <v>0.01</v>
      </c>
      <c r="AD64" s="1341">
        <v>1.4999999999999999E-2</v>
      </c>
      <c r="AE64" s="1341"/>
      <c r="AF64" s="1341">
        <v>0</v>
      </c>
      <c r="AG64" s="1342"/>
      <c r="AH64" s="1341"/>
      <c r="AI64" s="1341"/>
      <c r="AJ64" s="1341"/>
      <c r="AK64" s="1341"/>
      <c r="AL64" s="1343"/>
    </row>
    <row r="65" spans="10:38" ht="20.25" customHeight="1">
      <c r="J65" s="1350">
        <v>4</v>
      </c>
      <c r="K65" s="1351" t="s">
        <v>1587</v>
      </c>
      <c r="L65" s="1356">
        <v>300000</v>
      </c>
      <c r="M65" s="1353">
        <v>5000000</v>
      </c>
      <c r="N65" s="1354">
        <v>43.7</v>
      </c>
      <c r="O65" s="1355">
        <v>-8.9800000000000005E-2</v>
      </c>
      <c r="P65" s="1339"/>
      <c r="Q65" s="1339"/>
      <c r="R65" s="1340"/>
      <c r="S65" s="1341"/>
      <c r="T65" s="1341"/>
      <c r="U65" s="1341"/>
      <c r="V65" s="1341"/>
      <c r="W65" s="1341"/>
      <c r="X65" s="1341"/>
      <c r="Y65" s="1341"/>
      <c r="Z65" s="1341"/>
      <c r="AA65" s="1341"/>
      <c r="AB65" s="1342"/>
      <c r="AC65" s="1341"/>
      <c r="AD65" s="1341"/>
      <c r="AE65" s="1341"/>
      <c r="AF65" s="1395">
        <v>0</v>
      </c>
      <c r="AG65" s="1342"/>
      <c r="AH65" s="1341"/>
      <c r="AI65" s="1341"/>
      <c r="AJ65" s="1341"/>
      <c r="AK65" s="1341"/>
      <c r="AL65" s="1343"/>
    </row>
    <row r="66" spans="10:38" ht="20.25" customHeight="1">
      <c r="J66" s="1350">
        <v>4</v>
      </c>
      <c r="K66" s="1351" t="s">
        <v>1588</v>
      </c>
      <c r="L66" s="1356">
        <v>300000</v>
      </c>
      <c r="M66" s="1353">
        <v>5000000</v>
      </c>
      <c r="N66" s="1354">
        <v>105.2</v>
      </c>
      <c r="O66" s="1355">
        <v>-0.11</v>
      </c>
      <c r="P66" s="1339"/>
      <c r="Q66" s="1339"/>
      <c r="R66" s="1340"/>
      <c r="S66" s="1341"/>
      <c r="T66" s="1341"/>
      <c r="U66" s="1341"/>
      <c r="V66" s="1341"/>
      <c r="W66" s="1341"/>
      <c r="X66" s="1341"/>
      <c r="Y66" s="1341"/>
      <c r="Z66" s="1341"/>
      <c r="AA66" s="1341"/>
      <c r="AB66" s="1342"/>
      <c r="AC66" s="1341"/>
      <c r="AD66" s="1341"/>
      <c r="AE66" s="1341"/>
      <c r="AF66" s="1395">
        <v>0</v>
      </c>
      <c r="AG66" s="1342"/>
      <c r="AH66" s="1341"/>
      <c r="AI66" s="1341"/>
      <c r="AJ66" s="1341"/>
      <c r="AK66" s="1341"/>
      <c r="AL66" s="1343"/>
    </row>
    <row r="67" spans="10:38" ht="20.25" customHeight="1">
      <c r="J67" s="1350">
        <v>4</v>
      </c>
      <c r="K67" s="1351" t="s">
        <v>1589</v>
      </c>
      <c r="L67" s="1352">
        <v>3000</v>
      </c>
      <c r="M67" s="1357">
        <v>1000000</v>
      </c>
      <c r="N67" s="1358">
        <v>98.9</v>
      </c>
      <c r="O67" s="1359">
        <v>-0.14030000000000001</v>
      </c>
      <c r="P67" s="1319"/>
      <c r="Q67" s="1319"/>
      <c r="R67" s="1320"/>
      <c r="S67" s="1321"/>
      <c r="T67" s="1321"/>
      <c r="U67" s="1321"/>
      <c r="V67" s="1321"/>
      <c r="W67" s="1321"/>
      <c r="X67" s="1321"/>
      <c r="Y67" s="1321"/>
      <c r="Z67" s="1321"/>
      <c r="AA67" s="1321"/>
      <c r="AB67" s="1322">
        <v>0.02</v>
      </c>
      <c r="AC67" s="1321">
        <v>0.01</v>
      </c>
      <c r="AD67" s="1321">
        <v>1.4999999999999999E-2</v>
      </c>
      <c r="AE67" s="1321"/>
      <c r="AF67" s="1321">
        <v>0</v>
      </c>
      <c r="AG67" s="1322"/>
      <c r="AH67" s="1321"/>
      <c r="AI67" s="1321"/>
      <c r="AJ67" s="1321"/>
      <c r="AK67" s="1321"/>
      <c r="AL67" s="1323"/>
    </row>
    <row r="68" spans="10:38" ht="20.25" customHeight="1">
      <c r="J68" s="1350">
        <v>4</v>
      </c>
      <c r="K68" s="1351" t="s">
        <v>1590</v>
      </c>
      <c r="L68" s="1352">
        <v>3000</v>
      </c>
      <c r="M68" s="1357">
        <v>1000000</v>
      </c>
      <c r="N68" s="1358">
        <v>98.9</v>
      </c>
      <c r="O68" s="1359">
        <v>-0.14030000000000001</v>
      </c>
      <c r="P68" s="1319"/>
      <c r="Q68" s="1319"/>
      <c r="R68" s="1320"/>
      <c r="S68" s="1321"/>
      <c r="T68" s="1321"/>
      <c r="U68" s="1321"/>
      <c r="V68" s="1321"/>
      <c r="W68" s="1321"/>
      <c r="X68" s="1321"/>
      <c r="Y68" s="1321"/>
      <c r="Z68" s="1321"/>
      <c r="AA68" s="1321"/>
      <c r="AB68" s="1322">
        <v>0.02</v>
      </c>
      <c r="AC68" s="1321">
        <v>0.01</v>
      </c>
      <c r="AD68" s="1321">
        <v>1.4999999999999999E-2</v>
      </c>
      <c r="AE68" s="1321"/>
      <c r="AF68" s="1321">
        <v>0</v>
      </c>
      <c r="AG68" s="1322"/>
      <c r="AH68" s="1321"/>
      <c r="AI68" s="1321"/>
      <c r="AJ68" s="1321"/>
      <c r="AK68" s="1321"/>
      <c r="AL68" s="1323"/>
    </row>
    <row r="69" spans="10:38" ht="20.25" customHeight="1">
      <c r="J69" s="1350">
        <v>4</v>
      </c>
      <c r="K69" s="1351" t="s">
        <v>1591</v>
      </c>
      <c r="L69" s="1352">
        <v>3000</v>
      </c>
      <c r="M69" s="1357">
        <v>1000000</v>
      </c>
      <c r="N69" s="1358">
        <v>98.9</v>
      </c>
      <c r="O69" s="1359">
        <v>-0.14030000000000001</v>
      </c>
      <c r="P69" s="1319"/>
      <c r="Q69" s="1319"/>
      <c r="R69" s="1320"/>
      <c r="S69" s="1321"/>
      <c r="T69" s="1321"/>
      <c r="U69" s="1321"/>
      <c r="V69" s="1321"/>
      <c r="W69" s="1321"/>
      <c r="X69" s="1321"/>
      <c r="Y69" s="1321"/>
      <c r="Z69" s="1321"/>
      <c r="AA69" s="1321"/>
      <c r="AB69" s="1322">
        <v>0.02</v>
      </c>
      <c r="AC69" s="1321">
        <v>0.01</v>
      </c>
      <c r="AD69" s="1321">
        <v>1.4999999999999999E-2</v>
      </c>
      <c r="AE69" s="1321"/>
      <c r="AF69" s="1321">
        <v>0</v>
      </c>
      <c r="AG69" s="1322"/>
      <c r="AH69" s="1321"/>
      <c r="AI69" s="1321"/>
      <c r="AJ69" s="1321"/>
      <c r="AK69" s="1321"/>
      <c r="AL69" s="1323"/>
    </row>
    <row r="70" spans="10:38" ht="20.25" customHeight="1">
      <c r="J70" s="1350">
        <v>4</v>
      </c>
      <c r="K70" s="1351" t="s">
        <v>1592</v>
      </c>
      <c r="L70" s="1352">
        <v>3000</v>
      </c>
      <c r="M70" s="1357">
        <v>1000000</v>
      </c>
      <c r="N70" s="1358">
        <v>98.9</v>
      </c>
      <c r="O70" s="1359">
        <v>-0.14030000000000001</v>
      </c>
      <c r="P70" s="1319"/>
      <c r="Q70" s="1319"/>
      <c r="R70" s="1320"/>
      <c r="S70" s="1321"/>
      <c r="T70" s="1321"/>
      <c r="U70" s="1321"/>
      <c r="V70" s="1321"/>
      <c r="W70" s="1321"/>
      <c r="X70" s="1321"/>
      <c r="Y70" s="1321"/>
      <c r="Z70" s="1321"/>
      <c r="AA70" s="1321"/>
      <c r="AB70" s="1322">
        <v>0.02</v>
      </c>
      <c r="AC70" s="1321">
        <v>0.01</v>
      </c>
      <c r="AD70" s="1321">
        <v>1.4999999999999999E-2</v>
      </c>
      <c r="AE70" s="1321"/>
      <c r="AF70" s="1321">
        <v>0</v>
      </c>
      <c r="AG70" s="1322"/>
      <c r="AH70" s="1321"/>
      <c r="AI70" s="1321"/>
      <c r="AJ70" s="1321"/>
      <c r="AK70" s="1321"/>
      <c r="AL70" s="1323"/>
    </row>
    <row r="71" spans="10:38" ht="20.25" customHeight="1">
      <c r="J71" s="1350">
        <v>4</v>
      </c>
      <c r="K71" s="1351" t="s">
        <v>1593</v>
      </c>
      <c r="L71" s="1352">
        <v>3000</v>
      </c>
      <c r="M71" s="1357">
        <v>1000000</v>
      </c>
      <c r="N71" s="1358">
        <v>98.9</v>
      </c>
      <c r="O71" s="1359">
        <v>-0.14030000000000001</v>
      </c>
      <c r="P71" s="1319"/>
      <c r="Q71" s="1319"/>
      <c r="R71" s="1320"/>
      <c r="S71" s="1321"/>
      <c r="T71" s="1321"/>
      <c r="U71" s="1321"/>
      <c r="V71" s="1321"/>
      <c r="W71" s="1321"/>
      <c r="X71" s="1321"/>
      <c r="Y71" s="1321"/>
      <c r="Z71" s="1321"/>
      <c r="AA71" s="1321"/>
      <c r="AB71" s="1322">
        <v>0.02</v>
      </c>
      <c r="AC71" s="1321">
        <v>0.01</v>
      </c>
      <c r="AD71" s="1321">
        <v>1.4999999999999999E-2</v>
      </c>
      <c r="AE71" s="1321"/>
      <c r="AF71" s="1321">
        <v>0</v>
      </c>
      <c r="AG71" s="1322"/>
      <c r="AH71" s="1321"/>
      <c r="AI71" s="1321"/>
      <c r="AJ71" s="1321"/>
      <c r="AK71" s="1321"/>
      <c r="AL71" s="1323"/>
    </row>
    <row r="72" spans="10:38" ht="20.25" customHeight="1" thickBot="1">
      <c r="J72" s="1350">
        <v>4</v>
      </c>
      <c r="K72" s="1351" t="s">
        <v>1202</v>
      </c>
      <c r="L72" s="1356">
        <v>3000</v>
      </c>
      <c r="M72" s="1353">
        <v>1000000</v>
      </c>
      <c r="N72" s="1358">
        <v>72.5</v>
      </c>
      <c r="O72" s="1359">
        <v>-0.13009999999999999</v>
      </c>
      <c r="P72" s="1339"/>
      <c r="Q72" s="1339"/>
      <c r="R72" s="1340"/>
      <c r="S72" s="1341"/>
      <c r="T72" s="1341"/>
      <c r="U72" s="1341"/>
      <c r="V72" s="1341"/>
      <c r="W72" s="1341"/>
      <c r="X72" s="1341"/>
      <c r="Y72" s="1341"/>
      <c r="Z72" s="1341"/>
      <c r="AA72" s="1341"/>
      <c r="AB72" s="1342">
        <v>0.02</v>
      </c>
      <c r="AC72" s="1341">
        <v>0.01</v>
      </c>
      <c r="AD72" s="1341">
        <v>1.4999999999999999E-2</v>
      </c>
      <c r="AE72" s="1341"/>
      <c r="AF72" s="1341">
        <v>0</v>
      </c>
      <c r="AG72" s="1342"/>
      <c r="AH72" s="1341"/>
      <c r="AI72" s="1341"/>
      <c r="AJ72" s="1341"/>
      <c r="AK72" s="1341"/>
      <c r="AL72" s="1343"/>
    </row>
    <row r="73" spans="10:38" ht="20.25" customHeight="1">
      <c r="J73" s="1192">
        <v>7</v>
      </c>
      <c r="K73" s="1173" t="s">
        <v>1211</v>
      </c>
      <c r="L73" s="1174">
        <v>10000</v>
      </c>
      <c r="M73" s="1175">
        <v>10000000</v>
      </c>
      <c r="N73" s="1176">
        <v>1030.4000000000001</v>
      </c>
      <c r="O73" s="1177">
        <v>-0.24660000000000001</v>
      </c>
      <c r="P73" s="1225"/>
      <c r="Q73" s="1225"/>
      <c r="R73" s="1226"/>
      <c r="S73" s="1227"/>
      <c r="T73" s="1227"/>
      <c r="U73" s="1227"/>
      <c r="V73" s="1227"/>
      <c r="W73" s="1227"/>
      <c r="X73" s="1227"/>
      <c r="Y73" s="1227"/>
      <c r="Z73" s="1219">
        <v>0.45</v>
      </c>
      <c r="AA73" s="1219">
        <v>0.5</v>
      </c>
      <c r="AB73" s="1228">
        <v>0.02</v>
      </c>
      <c r="AC73" s="1227">
        <v>0.01</v>
      </c>
      <c r="AD73" s="1227">
        <v>1.4999999999999999E-2</v>
      </c>
      <c r="AE73" s="1227"/>
      <c r="AF73" s="1227">
        <v>0</v>
      </c>
      <c r="AG73" s="1228"/>
      <c r="AH73" s="1227"/>
      <c r="AI73" s="1227"/>
      <c r="AJ73" s="1227"/>
      <c r="AK73" s="1227"/>
      <c r="AL73" s="1240"/>
    </row>
    <row r="74" spans="10:38" ht="20.25" customHeight="1">
      <c r="J74" s="1193">
        <v>7</v>
      </c>
      <c r="K74" s="1183" t="s">
        <v>1212</v>
      </c>
      <c r="L74" s="1184">
        <v>10000</v>
      </c>
      <c r="M74" s="1185">
        <v>10000000</v>
      </c>
      <c r="N74" s="1186">
        <v>148.4</v>
      </c>
      <c r="O74" s="1187">
        <v>-0.1552</v>
      </c>
      <c r="P74" s="1229"/>
      <c r="Q74" s="1229"/>
      <c r="R74" s="1230"/>
      <c r="S74" s="1231"/>
      <c r="T74" s="1231"/>
      <c r="U74" s="1231"/>
      <c r="V74" s="1231"/>
      <c r="W74" s="1231"/>
      <c r="X74" s="1231"/>
      <c r="Y74" s="1231"/>
      <c r="Z74" s="1321">
        <v>0.45</v>
      </c>
      <c r="AA74" s="1321">
        <v>0.5</v>
      </c>
      <c r="AB74" s="1232">
        <v>0.01</v>
      </c>
      <c r="AC74" s="1231">
        <v>0</v>
      </c>
      <c r="AD74" s="1231">
        <v>7.4999999999999997E-3</v>
      </c>
      <c r="AE74" s="1231"/>
      <c r="AF74" s="1231">
        <v>0</v>
      </c>
      <c r="AG74" s="1232"/>
      <c r="AH74" s="1231"/>
      <c r="AI74" s="1231"/>
      <c r="AJ74" s="1231"/>
      <c r="AK74" s="1231"/>
      <c r="AL74" s="1241"/>
    </row>
    <row r="75" spans="10:38" ht="20.25" customHeight="1">
      <c r="J75" s="1360">
        <v>7</v>
      </c>
      <c r="K75" s="1361" t="s">
        <v>1213</v>
      </c>
      <c r="L75" s="1362">
        <v>10000</v>
      </c>
      <c r="M75" s="1363">
        <v>10000000</v>
      </c>
      <c r="N75" s="1364">
        <v>822.2</v>
      </c>
      <c r="O75" s="1365">
        <v>-0.22</v>
      </c>
      <c r="P75" s="1339"/>
      <c r="Q75" s="1339"/>
      <c r="R75" s="1340"/>
      <c r="S75" s="1341"/>
      <c r="T75" s="1341"/>
      <c r="U75" s="1341"/>
      <c r="V75" s="1341"/>
      <c r="W75" s="1341"/>
      <c r="X75" s="1341"/>
      <c r="Y75" s="1341"/>
      <c r="Z75" s="1321">
        <v>0.45</v>
      </c>
      <c r="AA75" s="1321">
        <v>0.5</v>
      </c>
      <c r="AB75" s="1342">
        <v>0.01</v>
      </c>
      <c r="AC75" s="1341">
        <v>0</v>
      </c>
      <c r="AD75" s="1341">
        <v>7.4999999999999997E-3</v>
      </c>
      <c r="AE75" s="1341"/>
      <c r="AF75" s="1341">
        <v>0</v>
      </c>
      <c r="AG75" s="1342"/>
      <c r="AH75" s="1341"/>
      <c r="AI75" s="1341"/>
      <c r="AJ75" s="1341"/>
      <c r="AK75" s="1341"/>
      <c r="AL75" s="1343"/>
    </row>
    <row r="76" spans="10:38" ht="20.25" customHeight="1">
      <c r="J76" s="1360">
        <v>7</v>
      </c>
      <c r="K76" s="1361" t="s">
        <v>1214</v>
      </c>
      <c r="L76" s="1362">
        <v>10000</v>
      </c>
      <c r="M76" s="1363">
        <v>10000000</v>
      </c>
      <c r="N76" s="1364">
        <v>1636.8</v>
      </c>
      <c r="O76" s="1365">
        <v>-0.26290000000000002</v>
      </c>
      <c r="P76" s="1339"/>
      <c r="Q76" s="1339"/>
      <c r="R76" s="1340"/>
      <c r="S76" s="1341"/>
      <c r="T76" s="1341"/>
      <c r="U76" s="1341"/>
      <c r="V76" s="1341"/>
      <c r="W76" s="1341"/>
      <c r="X76" s="1341"/>
      <c r="Y76" s="1341"/>
      <c r="Z76" s="1321">
        <v>0.45</v>
      </c>
      <c r="AA76" s="1321">
        <v>0.5</v>
      </c>
      <c r="AB76" s="1342">
        <v>0.01</v>
      </c>
      <c r="AC76" s="1341">
        <v>0</v>
      </c>
      <c r="AD76" s="1341">
        <v>7.4999999999999997E-3</v>
      </c>
      <c r="AE76" s="1341"/>
      <c r="AF76" s="1341">
        <v>0</v>
      </c>
      <c r="AG76" s="1342"/>
      <c r="AH76" s="1341"/>
      <c r="AI76" s="1341"/>
      <c r="AJ76" s="1341"/>
      <c r="AK76" s="1341"/>
      <c r="AL76" s="1343"/>
    </row>
    <row r="77" spans="10:38" ht="20.25" customHeight="1">
      <c r="J77" s="1360">
        <v>7</v>
      </c>
      <c r="K77" s="1361" t="s">
        <v>1666</v>
      </c>
      <c r="L77" s="1362">
        <v>10000</v>
      </c>
      <c r="M77" s="1363">
        <v>10000000</v>
      </c>
      <c r="N77" s="1364">
        <v>395.2</v>
      </c>
      <c r="O77" s="1365">
        <v>-0.1978</v>
      </c>
      <c r="P77" s="1339"/>
      <c r="Q77" s="1339"/>
      <c r="R77" s="1340"/>
      <c r="S77" s="1341"/>
      <c r="T77" s="1341"/>
      <c r="U77" s="1341"/>
      <c r="V77" s="1341"/>
      <c r="W77" s="1341"/>
      <c r="X77" s="1341"/>
      <c r="Y77" s="1341"/>
      <c r="Z77" s="1321">
        <v>0.45</v>
      </c>
      <c r="AA77" s="1321">
        <v>0.5</v>
      </c>
      <c r="AB77" s="1342">
        <v>0.01</v>
      </c>
      <c r="AC77" s="1341">
        <v>0</v>
      </c>
      <c r="AD77" s="1341">
        <v>7.4999999999999997E-3</v>
      </c>
      <c r="AE77" s="1341"/>
      <c r="AF77" s="1341">
        <v>0</v>
      </c>
      <c r="AG77" s="1342"/>
      <c r="AH77" s="1341"/>
      <c r="AI77" s="1341"/>
      <c r="AJ77" s="1341"/>
      <c r="AK77" s="1341"/>
      <c r="AL77" s="1343"/>
    </row>
    <row r="78" spans="10:38" ht="20.25" customHeight="1">
      <c r="J78" s="1360">
        <v>7</v>
      </c>
      <c r="K78" s="1361" t="s">
        <v>1594</v>
      </c>
      <c r="L78" s="1362">
        <v>10000</v>
      </c>
      <c r="M78" s="1363">
        <v>10000000</v>
      </c>
      <c r="N78" s="1364">
        <v>107.9</v>
      </c>
      <c r="O78" s="1365">
        <v>-0.14549999999999999</v>
      </c>
      <c r="P78" s="1339"/>
      <c r="Q78" s="1339"/>
      <c r="R78" s="1340"/>
      <c r="S78" s="1341"/>
      <c r="T78" s="1341"/>
      <c r="U78" s="1341"/>
      <c r="V78" s="1341"/>
      <c r="W78" s="1341"/>
      <c r="X78" s="1341"/>
      <c r="Y78" s="1341"/>
      <c r="Z78" s="1321">
        <v>0.45</v>
      </c>
      <c r="AA78" s="1321">
        <v>0.5</v>
      </c>
      <c r="AB78" s="1342">
        <v>0.01</v>
      </c>
      <c r="AC78" s="1341">
        <v>0</v>
      </c>
      <c r="AD78" s="1341">
        <v>7.4999999999999997E-3</v>
      </c>
      <c r="AE78" s="1341"/>
      <c r="AF78" s="1341">
        <v>0</v>
      </c>
      <c r="AG78" s="1342"/>
      <c r="AH78" s="1341"/>
      <c r="AI78" s="1341"/>
      <c r="AJ78" s="1341"/>
      <c r="AK78" s="1341"/>
      <c r="AL78" s="1343"/>
    </row>
    <row r="79" spans="10:38" ht="20.25" customHeight="1">
      <c r="J79" s="1360">
        <v>7</v>
      </c>
      <c r="K79" s="1361" t="s">
        <v>1215</v>
      </c>
      <c r="L79" s="1362">
        <v>10000</v>
      </c>
      <c r="M79" s="1363">
        <v>10000000</v>
      </c>
      <c r="N79" s="1364">
        <v>35.799999999999997</v>
      </c>
      <c r="O79" s="1365">
        <v>-0.13039999999999999</v>
      </c>
      <c r="P79" s="1339"/>
      <c r="Q79" s="1339"/>
      <c r="R79" s="1340"/>
      <c r="S79" s="1341"/>
      <c r="T79" s="1341"/>
      <c r="U79" s="1341"/>
      <c r="V79" s="1341"/>
      <c r="W79" s="1341"/>
      <c r="X79" s="1341"/>
      <c r="Y79" s="1341"/>
      <c r="Z79" s="1321">
        <v>0.45</v>
      </c>
      <c r="AA79" s="1321">
        <v>0.5</v>
      </c>
      <c r="AB79" s="1342">
        <v>0.01</v>
      </c>
      <c r="AC79" s="1341">
        <v>0</v>
      </c>
      <c r="AD79" s="1341">
        <v>7.4999999999999997E-3</v>
      </c>
      <c r="AE79" s="1341"/>
      <c r="AF79" s="1341">
        <v>0</v>
      </c>
      <c r="AG79" s="1342"/>
      <c r="AH79" s="1341"/>
      <c r="AI79" s="1341"/>
      <c r="AJ79" s="1341"/>
      <c r="AK79" s="1341"/>
      <c r="AL79" s="1343"/>
    </row>
    <row r="80" spans="10:38" ht="20.25" customHeight="1">
      <c r="J80" s="1360">
        <v>7</v>
      </c>
      <c r="K80" s="1361" t="s">
        <v>1216</v>
      </c>
      <c r="L80" s="1362">
        <v>10000</v>
      </c>
      <c r="M80" s="1363">
        <v>10000000</v>
      </c>
      <c r="N80" s="1364">
        <v>34596.300000000003</v>
      </c>
      <c r="O80" s="1365">
        <v>-0.48949999999999999</v>
      </c>
      <c r="P80" s="1339"/>
      <c r="Q80" s="1339"/>
      <c r="R80" s="1340"/>
      <c r="S80" s="1341"/>
      <c r="T80" s="1341"/>
      <c r="U80" s="1341"/>
      <c r="V80" s="1341"/>
      <c r="W80" s="1341"/>
      <c r="X80" s="1341"/>
      <c r="Y80" s="1341"/>
      <c r="Z80" s="1321">
        <v>0.45</v>
      </c>
      <c r="AA80" s="1321">
        <v>0.5</v>
      </c>
      <c r="AB80" s="1342">
        <v>0.01</v>
      </c>
      <c r="AC80" s="1341">
        <v>0</v>
      </c>
      <c r="AD80" s="1341">
        <v>7.4999999999999997E-3</v>
      </c>
      <c r="AE80" s="1341"/>
      <c r="AF80" s="1341">
        <v>0</v>
      </c>
      <c r="AG80" s="1342"/>
      <c r="AH80" s="1341"/>
      <c r="AI80" s="1341"/>
      <c r="AJ80" s="1341"/>
      <c r="AK80" s="1341"/>
      <c r="AL80" s="1343"/>
    </row>
    <row r="81" spans="10:38" ht="20.25" customHeight="1">
      <c r="J81" s="1360">
        <v>7</v>
      </c>
      <c r="K81" s="1361" t="s">
        <v>1217</v>
      </c>
      <c r="L81" s="1362">
        <v>500000</v>
      </c>
      <c r="M81" s="1363">
        <v>10000000</v>
      </c>
      <c r="N81" s="1364">
        <v>10614.5</v>
      </c>
      <c r="O81" s="1365">
        <v>-0.35470000000000002</v>
      </c>
      <c r="P81" s="1339"/>
      <c r="Q81" s="1339"/>
      <c r="R81" s="1340"/>
      <c r="S81" s="1341"/>
      <c r="T81" s="1341"/>
      <c r="U81" s="1341"/>
      <c r="V81" s="1341"/>
      <c r="W81" s="1341"/>
      <c r="X81" s="1341"/>
      <c r="Y81" s="1341"/>
      <c r="Z81" s="1321">
        <v>0.45</v>
      </c>
      <c r="AA81" s="1321">
        <v>0.5</v>
      </c>
      <c r="AB81" s="1342">
        <v>0.01</v>
      </c>
      <c r="AC81" s="1341">
        <v>0</v>
      </c>
      <c r="AD81" s="1341">
        <v>7.4999999999999997E-3</v>
      </c>
      <c r="AE81" s="1341"/>
      <c r="AF81" s="1341">
        <v>0</v>
      </c>
      <c r="AG81" s="1342"/>
      <c r="AH81" s="1341"/>
      <c r="AI81" s="1341"/>
      <c r="AJ81" s="1341"/>
      <c r="AK81" s="1341"/>
      <c r="AL81" s="1343"/>
    </row>
    <row r="82" spans="10:38" ht="20.25" customHeight="1">
      <c r="J82" s="1360">
        <v>7</v>
      </c>
      <c r="K82" s="1361" t="s">
        <v>1218</v>
      </c>
      <c r="L82" s="1362">
        <v>500000</v>
      </c>
      <c r="M82" s="1363">
        <v>10000000</v>
      </c>
      <c r="N82" s="1364">
        <v>152.19999999999999</v>
      </c>
      <c r="O82" s="1365">
        <v>-0.1545</v>
      </c>
      <c r="P82" s="1339"/>
      <c r="Q82" s="1339"/>
      <c r="R82" s="1340"/>
      <c r="S82" s="1341"/>
      <c r="T82" s="1341"/>
      <c r="U82" s="1341"/>
      <c r="V82" s="1341"/>
      <c r="W82" s="1341"/>
      <c r="X82" s="1341"/>
      <c r="Y82" s="1341"/>
      <c r="Z82" s="1321">
        <v>0.45</v>
      </c>
      <c r="AA82" s="1321">
        <v>0.5</v>
      </c>
      <c r="AB82" s="1342">
        <v>0.01</v>
      </c>
      <c r="AC82" s="1341">
        <v>0</v>
      </c>
      <c r="AD82" s="1341">
        <v>7.4999999999999997E-3</v>
      </c>
      <c r="AE82" s="1341"/>
      <c r="AF82" s="1341">
        <v>0</v>
      </c>
      <c r="AG82" s="1342"/>
      <c r="AH82" s="1341"/>
      <c r="AI82" s="1341"/>
      <c r="AJ82" s="1341"/>
      <c r="AK82" s="1341"/>
      <c r="AL82" s="1343"/>
    </row>
    <row r="83" spans="10:38" ht="20.25" customHeight="1">
      <c r="J83" s="1360">
        <v>7</v>
      </c>
      <c r="K83" s="1361" t="s">
        <v>1595</v>
      </c>
      <c r="L83" s="1362">
        <v>10000</v>
      </c>
      <c r="M83" s="1363">
        <v>10000000</v>
      </c>
      <c r="N83" s="1364">
        <v>18.600000000000001</v>
      </c>
      <c r="O83" s="1365">
        <v>-6.4899999999999999E-2</v>
      </c>
      <c r="P83" s="1339"/>
      <c r="Q83" s="1339"/>
      <c r="R83" s="1340"/>
      <c r="S83" s="1341"/>
      <c r="T83" s="1341"/>
      <c r="U83" s="1341"/>
      <c r="V83" s="1341"/>
      <c r="W83" s="1341"/>
      <c r="X83" s="1341"/>
      <c r="Y83" s="1341"/>
      <c r="Z83" s="1321">
        <v>0.45</v>
      </c>
      <c r="AA83" s="1321">
        <v>0.5</v>
      </c>
      <c r="AB83" s="1342">
        <v>0.01</v>
      </c>
      <c r="AC83" s="1341">
        <v>0</v>
      </c>
      <c r="AD83" s="1341">
        <v>7.4999999999999997E-3</v>
      </c>
      <c r="AE83" s="1341"/>
      <c r="AF83" s="1341">
        <v>0</v>
      </c>
      <c r="AG83" s="1342"/>
      <c r="AH83" s="1341"/>
      <c r="AI83" s="1341"/>
      <c r="AJ83" s="1341"/>
      <c r="AK83" s="1341"/>
      <c r="AL83" s="1343"/>
    </row>
    <row r="84" spans="10:38" ht="20.25" customHeight="1" thickBot="1">
      <c r="J84" s="1366">
        <v>7</v>
      </c>
      <c r="K84" s="1367" t="s">
        <v>1667</v>
      </c>
      <c r="L84" s="1368">
        <v>10000</v>
      </c>
      <c r="M84" s="1369">
        <v>10000000</v>
      </c>
      <c r="N84" s="1370">
        <v>73</v>
      </c>
      <c r="O84" s="1371">
        <v>-0.1236</v>
      </c>
      <c r="P84" s="1372"/>
      <c r="Q84" s="1372"/>
      <c r="R84" s="1373"/>
      <c r="S84" s="1374"/>
      <c r="T84" s="1374"/>
      <c r="U84" s="1374"/>
      <c r="V84" s="1374"/>
      <c r="W84" s="1374"/>
      <c r="X84" s="1374"/>
      <c r="Y84" s="1374"/>
      <c r="Z84" s="1375">
        <v>0.45</v>
      </c>
      <c r="AA84" s="1375">
        <v>0.5</v>
      </c>
      <c r="AB84" s="1376">
        <v>0.01</v>
      </c>
      <c r="AC84" s="1374">
        <v>0</v>
      </c>
      <c r="AD84" s="1374">
        <v>7.4999999999999997E-3</v>
      </c>
      <c r="AE84" s="1374"/>
      <c r="AF84" s="1374">
        <v>0</v>
      </c>
      <c r="AG84" s="1376"/>
      <c r="AH84" s="1374"/>
      <c r="AI84" s="1374"/>
      <c r="AJ84" s="1374"/>
      <c r="AK84" s="1374"/>
      <c r="AL84" s="1377"/>
    </row>
    <row r="85" spans="10:38" ht="20.25" customHeight="1">
      <c r="J85" s="1194">
        <v>8</v>
      </c>
      <c r="K85" s="1168" t="s">
        <v>1206</v>
      </c>
      <c r="L85" s="1169">
        <v>6000</v>
      </c>
      <c r="M85" s="1170">
        <v>1000000</v>
      </c>
      <c r="N85" s="1171">
        <v>1280.5999999999999</v>
      </c>
      <c r="O85" s="1172">
        <v>-0.28570000000000001</v>
      </c>
      <c r="P85" s="1221"/>
      <c r="Q85" s="1221"/>
      <c r="R85" s="1222"/>
      <c r="S85" s="1223"/>
      <c r="T85" s="1223"/>
      <c r="U85" s="1223"/>
      <c r="V85" s="1223"/>
      <c r="W85" s="1223"/>
      <c r="X85" s="1223"/>
      <c r="Y85" s="1223"/>
      <c r="Z85" s="1223"/>
      <c r="AA85" s="1223"/>
      <c r="AB85" s="1224">
        <v>0.02</v>
      </c>
      <c r="AC85" s="1223">
        <v>0</v>
      </c>
      <c r="AD85" s="1223">
        <v>1.4999999999999999E-2</v>
      </c>
      <c r="AE85" s="1223"/>
      <c r="AF85" s="1223">
        <v>0</v>
      </c>
      <c r="AG85" s="1224"/>
      <c r="AH85" s="1223"/>
      <c r="AI85" s="1223"/>
      <c r="AJ85" s="1223"/>
      <c r="AK85" s="1223"/>
      <c r="AL85" s="1239"/>
    </row>
    <row r="86" spans="10:38" ht="20.25" customHeight="1">
      <c r="J86" s="1378">
        <v>8</v>
      </c>
      <c r="K86" s="1379" t="s">
        <v>1207</v>
      </c>
      <c r="L86" s="1380">
        <v>6000</v>
      </c>
      <c r="M86" s="1381">
        <v>1000000</v>
      </c>
      <c r="N86" s="1382">
        <v>311.7</v>
      </c>
      <c r="O86" s="1383">
        <v>-0.21859999999999999</v>
      </c>
      <c r="P86" s="1339"/>
      <c r="Q86" s="1339"/>
      <c r="R86" s="1340"/>
      <c r="S86" s="1341"/>
      <c r="T86" s="1341"/>
      <c r="U86" s="1341"/>
      <c r="V86" s="1341"/>
      <c r="W86" s="1341"/>
      <c r="X86" s="1341"/>
      <c r="Y86" s="1341"/>
      <c r="Z86" s="1341"/>
      <c r="AA86" s="1341"/>
      <c r="AB86" s="1342">
        <v>0.02</v>
      </c>
      <c r="AC86" s="1341">
        <v>0</v>
      </c>
      <c r="AD86" s="1341">
        <v>1.4999999999999999E-2</v>
      </c>
      <c r="AE86" s="1341"/>
      <c r="AF86" s="1341">
        <v>0</v>
      </c>
      <c r="AG86" s="1342"/>
      <c r="AH86" s="1341"/>
      <c r="AI86" s="1341"/>
      <c r="AJ86" s="1341"/>
      <c r="AK86" s="1341"/>
      <c r="AL86" s="1343"/>
    </row>
    <row r="87" spans="10:38" ht="20.25" customHeight="1">
      <c r="J87" s="1378">
        <v>8</v>
      </c>
      <c r="K87" s="1379" t="s">
        <v>1208</v>
      </c>
      <c r="L87" s="1380">
        <v>6000</v>
      </c>
      <c r="M87" s="1381">
        <v>1000000</v>
      </c>
      <c r="N87" s="1382">
        <v>24.5</v>
      </c>
      <c r="O87" s="1383">
        <v>-7.8100000000000003E-2</v>
      </c>
      <c r="P87" s="1339"/>
      <c r="Q87" s="1339"/>
      <c r="R87" s="1340"/>
      <c r="S87" s="1341"/>
      <c r="T87" s="1341"/>
      <c r="U87" s="1341"/>
      <c r="V87" s="1341"/>
      <c r="W87" s="1341"/>
      <c r="X87" s="1341"/>
      <c r="Y87" s="1341"/>
      <c r="Z87" s="1341"/>
      <c r="AA87" s="1341"/>
      <c r="AB87" s="1342">
        <v>0.02</v>
      </c>
      <c r="AC87" s="1341">
        <v>0</v>
      </c>
      <c r="AD87" s="1341">
        <v>1.4999999999999999E-2</v>
      </c>
      <c r="AE87" s="1341"/>
      <c r="AF87" s="1341">
        <v>0</v>
      </c>
      <c r="AG87" s="1342"/>
      <c r="AH87" s="1341"/>
      <c r="AI87" s="1341"/>
      <c r="AJ87" s="1341"/>
      <c r="AK87" s="1341"/>
      <c r="AL87" s="1343"/>
    </row>
    <row r="88" spans="10:38" ht="20.25" customHeight="1">
      <c r="J88" s="1378">
        <v>8</v>
      </c>
      <c r="K88" s="1379" t="s">
        <v>1209</v>
      </c>
      <c r="L88" s="1380">
        <v>10000</v>
      </c>
      <c r="M88" s="1381">
        <v>2000000</v>
      </c>
      <c r="N88" s="1382">
        <v>395.7</v>
      </c>
      <c r="O88" s="1383">
        <v>-0.22309999999999999</v>
      </c>
      <c r="P88" s="1339"/>
      <c r="Q88" s="1339"/>
      <c r="R88" s="1340"/>
      <c r="S88" s="1341"/>
      <c r="T88" s="1341"/>
      <c r="U88" s="1341"/>
      <c r="V88" s="1341"/>
      <c r="W88" s="1341"/>
      <c r="X88" s="1341"/>
      <c r="Y88" s="1341"/>
      <c r="Z88" s="1341"/>
      <c r="AA88" s="1341"/>
      <c r="AB88" s="1342">
        <v>0.02</v>
      </c>
      <c r="AC88" s="1341">
        <v>0</v>
      </c>
      <c r="AD88" s="1341">
        <v>1.4999999999999999E-2</v>
      </c>
      <c r="AE88" s="1341"/>
      <c r="AF88" s="1341">
        <v>0</v>
      </c>
      <c r="AG88" s="1342"/>
      <c r="AH88" s="1341"/>
      <c r="AI88" s="1341"/>
      <c r="AJ88" s="1341"/>
      <c r="AK88" s="1341"/>
      <c r="AL88" s="1343"/>
    </row>
    <row r="89" spans="10:38" ht="20.25" customHeight="1">
      <c r="J89" s="1378">
        <v>8</v>
      </c>
      <c r="K89" s="1379" t="s">
        <v>1210</v>
      </c>
      <c r="L89" s="1380">
        <v>6000</v>
      </c>
      <c r="M89" s="1381">
        <v>2000000</v>
      </c>
      <c r="N89" s="1382">
        <v>144.5</v>
      </c>
      <c r="O89" s="1383">
        <v>-0.14510000000000001</v>
      </c>
      <c r="P89" s="1339"/>
      <c r="Q89" s="1339"/>
      <c r="R89" s="1340"/>
      <c r="S89" s="1341"/>
      <c r="T89" s="1341"/>
      <c r="U89" s="1341"/>
      <c r="V89" s="1341"/>
      <c r="W89" s="1341"/>
      <c r="X89" s="1341"/>
      <c r="Y89" s="1341"/>
      <c r="Z89" s="1341"/>
      <c r="AA89" s="1341"/>
      <c r="AB89" s="1342">
        <v>0.02</v>
      </c>
      <c r="AC89" s="1341">
        <v>0</v>
      </c>
      <c r="AD89" s="1341">
        <v>1.4999999999999999E-2</v>
      </c>
      <c r="AE89" s="1341"/>
      <c r="AF89" s="1341">
        <v>0</v>
      </c>
      <c r="AG89" s="1342"/>
      <c r="AH89" s="1341"/>
      <c r="AI89" s="1341"/>
      <c r="AJ89" s="1341"/>
      <c r="AK89" s="1341"/>
      <c r="AL89" s="1343"/>
    </row>
    <row r="90" spans="10:38" ht="30" customHeight="1" thickBot="1">
      <c r="J90" s="1384">
        <v>8</v>
      </c>
      <c r="K90" s="1385" t="s">
        <v>670</v>
      </c>
      <c r="L90" s="1386">
        <v>6000</v>
      </c>
      <c r="M90" s="1387">
        <v>1000000</v>
      </c>
      <c r="N90" s="1388">
        <v>18.8</v>
      </c>
      <c r="O90" s="1389">
        <v>-5.6500000000000002E-2</v>
      </c>
      <c r="P90" s="1390"/>
      <c r="Q90" s="1390"/>
      <c r="R90" s="1391"/>
      <c r="S90" s="1392"/>
      <c r="T90" s="1392"/>
      <c r="U90" s="1392"/>
      <c r="V90" s="1392"/>
      <c r="W90" s="1392"/>
      <c r="X90" s="1392"/>
      <c r="Y90" s="1392"/>
      <c r="Z90" s="1392"/>
      <c r="AA90" s="1392"/>
      <c r="AB90" s="1393">
        <v>0.02</v>
      </c>
      <c r="AC90" s="1392">
        <v>0</v>
      </c>
      <c r="AD90" s="1392">
        <v>1.4999999999999999E-2</v>
      </c>
      <c r="AE90" s="1392"/>
      <c r="AF90" s="1392">
        <v>0</v>
      </c>
      <c r="AG90" s="1393"/>
      <c r="AH90" s="1392"/>
      <c r="AI90" s="1392"/>
      <c r="AJ90" s="1392"/>
      <c r="AK90" s="1392"/>
      <c r="AL90" s="1394"/>
    </row>
    <row r="91" spans="10:38" ht="30" customHeight="1">
      <c r="J91" s="1034"/>
      <c r="K91" s="1034"/>
      <c r="L91" s="1034"/>
      <c r="M91" s="1034"/>
      <c r="N91" s="1034"/>
      <c r="O91" s="1034"/>
      <c r="P91" s="1034"/>
      <c r="Q91" s="1034"/>
      <c r="R91" s="1034"/>
      <c r="S91" s="1034"/>
      <c r="T91" s="1034"/>
      <c r="U91" s="1034"/>
      <c r="V91" s="1034"/>
      <c r="W91" s="1034"/>
    </row>
    <row r="92" spans="10:38" ht="30" customHeight="1">
      <c r="O92" s="1065"/>
      <c r="P92" s="1065"/>
      <c r="Q92" s="1065"/>
      <c r="X92" s="1066"/>
      <c r="Y92" s="1066"/>
      <c r="Z92" s="1066"/>
    </row>
    <row r="93" spans="10:38" ht="30" customHeight="1">
      <c r="O93" s="1065"/>
      <c r="P93" s="1065"/>
      <c r="Q93" s="1065"/>
      <c r="X93" s="1066"/>
      <c r="Y93" s="1066"/>
      <c r="Z93" s="1066"/>
    </row>
    <row r="94" spans="10:38" ht="30" customHeight="1">
      <c r="O94" s="1065"/>
      <c r="P94" s="1065"/>
      <c r="Q94" s="1065"/>
      <c r="X94" s="1066"/>
      <c r="Y94" s="1066"/>
      <c r="Z94" s="1066"/>
    </row>
    <row r="95" spans="10:38" ht="30" customHeight="1">
      <c r="O95" s="1065"/>
      <c r="P95" s="1065"/>
      <c r="Q95" s="1065"/>
      <c r="X95" s="1066"/>
      <c r="Y95" s="1066"/>
      <c r="Z95" s="1066"/>
    </row>
    <row r="96" spans="10:38" ht="30" customHeight="1">
      <c r="O96" s="1065"/>
      <c r="P96" s="1065"/>
      <c r="Q96" s="1065"/>
      <c r="X96" s="1066"/>
      <c r="Y96" s="1066"/>
      <c r="Z96" s="1066"/>
    </row>
    <row r="97" spans="15:26" ht="30" customHeight="1">
      <c r="O97" s="1065"/>
      <c r="P97" s="1065"/>
      <c r="Q97" s="1065"/>
      <c r="X97" s="1066"/>
      <c r="Y97" s="1066"/>
      <c r="Z97" s="1066"/>
    </row>
    <row r="98" spans="15:26" ht="30" customHeight="1">
      <c r="O98" s="1065"/>
      <c r="P98" s="1065"/>
      <c r="Q98" s="1065"/>
      <c r="X98" s="1066"/>
      <c r="Y98" s="1066"/>
      <c r="Z98" s="1066"/>
    </row>
    <row r="99" spans="15:26" ht="30" customHeight="1">
      <c r="O99" s="1065"/>
      <c r="P99" s="1065"/>
      <c r="Q99" s="1065"/>
      <c r="X99" s="1066"/>
      <c r="Y99" s="1066"/>
      <c r="Z99" s="1066"/>
    </row>
    <row r="100" spans="15:26" ht="30" customHeight="1">
      <c r="O100" s="1065"/>
      <c r="P100" s="1065"/>
      <c r="Q100" s="1065"/>
      <c r="X100" s="1066"/>
      <c r="Y100" s="1066"/>
      <c r="Z100" s="1066"/>
    </row>
    <row r="101" spans="15:26" ht="30" customHeight="1">
      <c r="O101" s="1065"/>
      <c r="P101" s="1065"/>
      <c r="Q101" s="1065"/>
      <c r="X101" s="1066"/>
      <c r="Y101" s="1066"/>
      <c r="Z101" s="1066"/>
    </row>
    <row r="102" spans="15:26" ht="30" customHeight="1">
      <c r="O102" s="1065"/>
      <c r="P102" s="1065"/>
      <c r="Q102" s="1065"/>
      <c r="X102" s="1066"/>
      <c r="Y102" s="1066"/>
      <c r="Z102" s="1066"/>
    </row>
    <row r="103" spans="15:26" ht="30" customHeight="1">
      <c r="O103" s="1065"/>
      <c r="P103" s="1065"/>
      <c r="Q103" s="1065"/>
      <c r="X103" s="1066"/>
      <c r="Y103" s="1066"/>
      <c r="Z103" s="1066"/>
    </row>
    <row r="104" spans="15:26" ht="30" customHeight="1">
      <c r="O104" s="1065"/>
      <c r="P104" s="1065"/>
      <c r="Q104" s="1065"/>
      <c r="X104" s="1066"/>
      <c r="Y104" s="1066"/>
      <c r="Z104" s="1066"/>
    </row>
    <row r="105" spans="15:26" ht="30" customHeight="1">
      <c r="O105" s="1065"/>
      <c r="P105" s="1065"/>
      <c r="Q105" s="1065"/>
      <c r="X105" s="1066"/>
      <c r="Y105" s="1066"/>
      <c r="Z105" s="1066"/>
    </row>
    <row r="106" spans="15:26" ht="30" customHeight="1">
      <c r="O106" s="1065"/>
      <c r="P106" s="1065"/>
      <c r="Q106" s="1065"/>
      <c r="X106" s="1066"/>
      <c r="Y106" s="1066"/>
      <c r="Z106" s="1066"/>
    </row>
    <row r="107" spans="15:26" ht="30" customHeight="1">
      <c r="O107" s="1065"/>
      <c r="P107" s="1065"/>
      <c r="Q107" s="1065"/>
      <c r="X107" s="1066"/>
      <c r="Y107" s="1066"/>
      <c r="Z107" s="1066"/>
    </row>
    <row r="108" spans="15:26" ht="30" customHeight="1">
      <c r="O108" s="1065"/>
      <c r="P108" s="1065"/>
      <c r="Q108" s="1065"/>
      <c r="X108" s="1066"/>
      <c r="Y108" s="1066"/>
      <c r="Z108" s="1066"/>
    </row>
    <row r="109" spans="15:26" ht="30" customHeight="1">
      <c r="O109" s="1065"/>
      <c r="P109" s="1065"/>
      <c r="Q109" s="1065"/>
      <c r="X109" s="1066"/>
      <c r="Y109" s="1066"/>
      <c r="Z109" s="1066"/>
    </row>
    <row r="110" spans="15:26" ht="30" customHeight="1">
      <c r="O110" s="1065"/>
      <c r="P110" s="1065"/>
      <c r="Q110" s="1065"/>
      <c r="X110" s="1066"/>
      <c r="Y110" s="1066"/>
      <c r="Z110" s="1066"/>
    </row>
    <row r="111" spans="15:26" ht="30" customHeight="1">
      <c r="O111" s="1065"/>
      <c r="P111" s="1065"/>
      <c r="Q111" s="1065"/>
      <c r="X111" s="1066"/>
      <c r="Y111" s="1066"/>
      <c r="Z111" s="1066"/>
    </row>
    <row r="112" spans="15:26" ht="30" customHeight="1">
      <c r="O112" s="1065"/>
      <c r="P112" s="1065"/>
      <c r="Q112" s="1065"/>
      <c r="X112" s="1066"/>
      <c r="Y112" s="1066"/>
      <c r="Z112" s="1066"/>
    </row>
    <row r="113" spans="15:26" ht="30" customHeight="1">
      <c r="O113" s="1065"/>
      <c r="P113" s="1065"/>
      <c r="Q113" s="1065"/>
      <c r="X113" s="1066"/>
      <c r="Y113" s="1066"/>
      <c r="Z113" s="1066"/>
    </row>
    <row r="114" spans="15:26" ht="30" customHeight="1">
      <c r="O114" s="1065"/>
      <c r="P114" s="1065"/>
      <c r="Q114" s="1065"/>
      <c r="X114" s="1066"/>
      <c r="Y114" s="1066"/>
      <c r="Z114" s="1066"/>
    </row>
    <row r="115" spans="15:26" ht="30" customHeight="1">
      <c r="O115" s="1065"/>
      <c r="P115" s="1065"/>
      <c r="Q115" s="1065"/>
      <c r="X115" s="1066"/>
      <c r="Y115" s="1066"/>
      <c r="Z115" s="1066"/>
    </row>
    <row r="116" spans="15:26" ht="30" customHeight="1">
      <c r="O116" s="1065"/>
      <c r="P116" s="1065"/>
      <c r="Q116" s="1065"/>
      <c r="X116" s="1066"/>
      <c r="Y116" s="1066"/>
      <c r="Z116" s="1066"/>
    </row>
    <row r="117" spans="15:26" ht="30" customHeight="1">
      <c r="O117" s="1065"/>
      <c r="P117" s="1065"/>
      <c r="Q117" s="1065"/>
      <c r="X117" s="1066"/>
      <c r="Y117" s="1066"/>
      <c r="Z117" s="1066"/>
    </row>
    <row r="118" spans="15:26" ht="30" customHeight="1">
      <c r="O118" s="1065"/>
      <c r="P118" s="1065"/>
      <c r="Q118" s="1065"/>
      <c r="X118" s="1066"/>
      <c r="Y118" s="1066"/>
      <c r="Z118" s="1066"/>
    </row>
    <row r="119" spans="15:26" ht="30" customHeight="1">
      <c r="O119" s="1065"/>
      <c r="P119" s="1065"/>
      <c r="Q119" s="1065"/>
      <c r="X119" s="1066"/>
      <c r="Y119" s="1066"/>
      <c r="Z119" s="1066"/>
    </row>
    <row r="120" spans="15:26" ht="30" customHeight="1">
      <c r="O120" s="1065"/>
      <c r="P120" s="1065"/>
      <c r="Q120" s="1065"/>
      <c r="X120" s="1066"/>
      <c r="Y120" s="1066"/>
      <c r="Z120" s="1066"/>
    </row>
    <row r="121" spans="15:26" ht="30" customHeight="1">
      <c r="O121" s="1065"/>
      <c r="P121" s="1065"/>
      <c r="Q121" s="1065"/>
      <c r="X121" s="1066"/>
      <c r="Y121" s="1066"/>
      <c r="Z121" s="1066"/>
    </row>
    <row r="122" spans="15:26" ht="30" customHeight="1">
      <c r="O122" s="1065"/>
      <c r="P122" s="1065"/>
      <c r="Q122" s="1065"/>
      <c r="X122" s="1066"/>
      <c r="Y122" s="1066"/>
      <c r="Z122" s="1066"/>
    </row>
    <row r="123" spans="15:26" ht="30" customHeight="1">
      <c r="O123" s="1065"/>
      <c r="P123" s="1065"/>
      <c r="Q123" s="1065"/>
      <c r="X123" s="1066"/>
      <c r="Y123" s="1066"/>
      <c r="Z123" s="1066"/>
    </row>
    <row r="124" spans="15:26" ht="30" customHeight="1">
      <c r="O124" s="1065"/>
      <c r="P124" s="1065"/>
      <c r="Q124" s="1065"/>
      <c r="X124" s="1066"/>
      <c r="Y124" s="1066"/>
      <c r="Z124" s="1066"/>
    </row>
    <row r="125" spans="15:26" ht="30" customHeight="1">
      <c r="O125" s="1065"/>
      <c r="P125" s="1065"/>
      <c r="Q125" s="1065"/>
      <c r="X125" s="1066"/>
      <c r="Y125" s="1066"/>
      <c r="Z125" s="1066"/>
    </row>
    <row r="126" spans="15:26" ht="30" customHeight="1">
      <c r="O126" s="1065"/>
      <c r="P126" s="1065"/>
      <c r="Q126" s="1065"/>
      <c r="X126" s="1066"/>
      <c r="Y126" s="1066"/>
      <c r="Z126" s="1066"/>
    </row>
    <row r="127" spans="15:26" ht="30" customHeight="1">
      <c r="O127" s="1065"/>
      <c r="P127" s="1065"/>
      <c r="Q127" s="1065"/>
      <c r="X127" s="1066"/>
      <c r="Y127" s="1066"/>
      <c r="Z127" s="1066"/>
    </row>
    <row r="128" spans="15:26" ht="30" customHeight="1">
      <c r="O128" s="1065"/>
      <c r="P128" s="1065"/>
      <c r="Q128" s="1065"/>
      <c r="X128" s="1066"/>
      <c r="Y128" s="1066"/>
      <c r="Z128" s="1066"/>
    </row>
    <row r="129" spans="15:26" ht="30" customHeight="1">
      <c r="O129" s="1065"/>
      <c r="P129" s="1065"/>
      <c r="Q129" s="1065"/>
      <c r="X129" s="1066"/>
      <c r="Y129" s="1066"/>
      <c r="Z129" s="1066"/>
    </row>
    <row r="130" spans="15:26" ht="30" customHeight="1">
      <c r="O130" s="1065"/>
      <c r="P130" s="1065"/>
      <c r="Q130" s="1065"/>
      <c r="X130" s="1066"/>
      <c r="Y130" s="1066"/>
      <c r="Z130" s="1066"/>
    </row>
    <row r="131" spans="15:26" ht="30" customHeight="1">
      <c r="O131" s="1065"/>
      <c r="P131" s="1065"/>
      <c r="Q131" s="1065"/>
      <c r="X131" s="1066"/>
      <c r="Y131" s="1066"/>
      <c r="Z131" s="1066"/>
    </row>
    <row r="132" spans="15:26" ht="30" customHeight="1">
      <c r="O132" s="1065"/>
      <c r="P132" s="1065"/>
      <c r="Q132" s="1065"/>
      <c r="X132" s="1066"/>
      <c r="Y132" s="1066"/>
      <c r="Z132" s="1066"/>
    </row>
    <row r="133" spans="15:26" ht="30" customHeight="1">
      <c r="O133" s="1065"/>
      <c r="P133" s="1065"/>
      <c r="Q133" s="1065"/>
      <c r="X133" s="1066"/>
      <c r="Y133" s="1066"/>
      <c r="Z133" s="1066"/>
    </row>
    <row r="134" spans="15:26" ht="30" customHeight="1">
      <c r="O134" s="1065"/>
      <c r="P134" s="1065"/>
      <c r="Q134" s="1065"/>
      <c r="X134" s="1066"/>
      <c r="Y134" s="1066"/>
      <c r="Z134" s="1066"/>
    </row>
    <row r="135" spans="15:26" ht="30" customHeight="1">
      <c r="O135" s="1065"/>
      <c r="P135" s="1065"/>
      <c r="Q135" s="1065"/>
      <c r="X135" s="1066"/>
      <c r="Y135" s="1066"/>
      <c r="Z135" s="1066"/>
    </row>
    <row r="136" spans="15:26" ht="30" customHeight="1">
      <c r="O136" s="1065"/>
      <c r="P136" s="1065"/>
      <c r="Q136" s="1065"/>
      <c r="X136" s="1066"/>
      <c r="Y136" s="1066"/>
      <c r="Z136" s="1066"/>
    </row>
    <row r="137" spans="15:26" ht="30" customHeight="1">
      <c r="O137" s="1065"/>
      <c r="P137" s="1065"/>
      <c r="Q137" s="1065"/>
      <c r="X137" s="1066"/>
      <c r="Y137" s="1066"/>
      <c r="Z137" s="1066"/>
    </row>
    <row r="138" spans="15:26" ht="30" customHeight="1">
      <c r="O138" s="1065"/>
      <c r="P138" s="1065"/>
      <c r="Q138" s="1065"/>
      <c r="X138" s="1066"/>
      <c r="Y138" s="1066"/>
      <c r="Z138" s="1066"/>
    </row>
    <row r="139" spans="15:26" ht="30" customHeight="1">
      <c r="O139" s="1065"/>
      <c r="P139" s="1065"/>
      <c r="Q139" s="1065"/>
      <c r="X139" s="1066"/>
      <c r="Y139" s="1066"/>
      <c r="Z139" s="1066"/>
    </row>
    <row r="140" spans="15:26" ht="30" customHeight="1">
      <c r="O140" s="1065"/>
      <c r="P140" s="1065"/>
      <c r="Q140" s="1065"/>
      <c r="X140" s="1066"/>
      <c r="Y140" s="1066"/>
      <c r="Z140" s="1066"/>
    </row>
    <row r="141" spans="15:26" ht="30" customHeight="1">
      <c r="O141" s="1065"/>
      <c r="P141" s="1065"/>
      <c r="Q141" s="1065"/>
      <c r="X141" s="1066"/>
      <c r="Y141" s="1066"/>
      <c r="Z141" s="1066"/>
    </row>
    <row r="142" spans="15:26" ht="30" customHeight="1">
      <c r="O142" s="1065"/>
      <c r="P142" s="1065"/>
      <c r="Q142" s="1065"/>
      <c r="X142" s="1066"/>
      <c r="Y142" s="1066"/>
      <c r="Z142" s="1066"/>
    </row>
    <row r="143" spans="15:26" ht="30" customHeight="1">
      <c r="O143" s="1065"/>
      <c r="P143" s="1065"/>
      <c r="Q143" s="1065"/>
      <c r="X143" s="1066"/>
      <c r="Y143" s="1066"/>
      <c r="Z143" s="1066"/>
    </row>
    <row r="144" spans="15:26" ht="30" customHeight="1">
      <c r="O144" s="1065"/>
      <c r="P144" s="1065"/>
      <c r="Q144" s="1065"/>
      <c r="X144" s="1066"/>
      <c r="Y144" s="1066"/>
      <c r="Z144" s="1066"/>
    </row>
    <row r="145" spans="15:26" ht="30" customHeight="1">
      <c r="O145" s="1065"/>
      <c r="P145" s="1065"/>
      <c r="Q145" s="1065"/>
      <c r="X145" s="1066"/>
      <c r="Y145" s="1066"/>
      <c r="Z145" s="1066"/>
    </row>
    <row r="146" spans="15:26" ht="30" customHeight="1">
      <c r="O146" s="1065"/>
      <c r="P146" s="1065"/>
      <c r="Q146" s="1065"/>
      <c r="X146" s="1066"/>
      <c r="Y146" s="1066"/>
      <c r="Z146" s="1066"/>
    </row>
    <row r="147" spans="15:26" ht="30" customHeight="1">
      <c r="O147" s="1065"/>
      <c r="P147" s="1065"/>
      <c r="Q147" s="1065"/>
      <c r="X147" s="1066"/>
      <c r="Y147" s="1066"/>
      <c r="Z147" s="1066"/>
    </row>
    <row r="148" spans="15:26" ht="30" customHeight="1">
      <c r="O148" s="1065"/>
      <c r="P148" s="1065"/>
      <c r="Q148" s="1065"/>
      <c r="X148" s="1066"/>
      <c r="Y148" s="1066"/>
      <c r="Z148" s="1066"/>
    </row>
    <row r="149" spans="15:26" ht="30" customHeight="1">
      <c r="O149" s="1065"/>
      <c r="P149" s="1065"/>
      <c r="Q149" s="1065"/>
      <c r="X149" s="1066"/>
      <c r="Y149" s="1066"/>
      <c r="Z149" s="1066"/>
    </row>
    <row r="150" spans="15:26" ht="30" customHeight="1">
      <c r="O150" s="1065"/>
      <c r="P150" s="1065"/>
      <c r="Q150" s="1065"/>
      <c r="X150" s="1066"/>
      <c r="Y150" s="1066"/>
      <c r="Z150" s="1066"/>
    </row>
    <row r="151" spans="15:26" ht="30" customHeight="1">
      <c r="O151" s="1065"/>
      <c r="P151" s="1065"/>
      <c r="Q151" s="1065"/>
      <c r="X151" s="1066"/>
      <c r="Y151" s="1066"/>
      <c r="Z151" s="1066"/>
    </row>
    <row r="152" spans="15:26" ht="30" customHeight="1">
      <c r="O152" s="1065"/>
      <c r="P152" s="1065"/>
      <c r="Q152" s="1065"/>
      <c r="X152" s="1066"/>
      <c r="Y152" s="1066"/>
      <c r="Z152" s="1066"/>
    </row>
    <row r="153" spans="15:26" ht="30" customHeight="1">
      <c r="O153" s="1065"/>
      <c r="P153" s="1065"/>
      <c r="Q153" s="1065"/>
      <c r="X153" s="1066"/>
      <c r="Y153" s="1066"/>
      <c r="Z153" s="1066"/>
    </row>
    <row r="154" spans="15:26" ht="30" customHeight="1">
      <c r="O154" s="1065"/>
      <c r="P154" s="1065"/>
      <c r="Q154" s="1065"/>
      <c r="X154" s="1066"/>
      <c r="Y154" s="1066"/>
      <c r="Z154" s="1066"/>
    </row>
    <row r="155" spans="15:26" ht="30" customHeight="1">
      <c r="O155" s="1065"/>
      <c r="P155" s="1065"/>
      <c r="Q155" s="1065"/>
      <c r="X155" s="1066"/>
      <c r="Y155" s="1066"/>
      <c r="Z155" s="1066"/>
    </row>
    <row r="156" spans="15:26" ht="30" customHeight="1">
      <c r="O156" s="1065"/>
      <c r="P156" s="1065"/>
      <c r="Q156" s="1065"/>
      <c r="X156" s="1066"/>
      <c r="Y156" s="1066"/>
      <c r="Z156" s="1066"/>
    </row>
    <row r="157" spans="15:26" ht="30" customHeight="1">
      <c r="O157" s="1065"/>
      <c r="P157" s="1065"/>
      <c r="Q157" s="1065"/>
      <c r="X157" s="1066"/>
      <c r="Y157" s="1066"/>
      <c r="Z157" s="1066"/>
    </row>
    <row r="158" spans="15:26" ht="30" customHeight="1">
      <c r="O158" s="1065"/>
      <c r="P158" s="1065"/>
      <c r="Q158" s="1065"/>
      <c r="X158" s="1066"/>
      <c r="Y158" s="1066"/>
      <c r="Z158" s="1066"/>
    </row>
    <row r="159" spans="15:26" ht="30" customHeight="1">
      <c r="O159" s="1065"/>
      <c r="P159" s="1065"/>
      <c r="Q159" s="1065"/>
      <c r="X159" s="1066"/>
      <c r="Y159" s="1066"/>
      <c r="Z159" s="1066"/>
    </row>
    <row r="160" spans="15:26" ht="30" customHeight="1">
      <c r="O160" s="1065"/>
      <c r="P160" s="1065"/>
      <c r="Q160" s="1065"/>
      <c r="X160" s="1066"/>
      <c r="Y160" s="1066"/>
      <c r="Z160" s="1066"/>
    </row>
    <row r="161" spans="15:26" ht="30" customHeight="1">
      <c r="O161" s="1065"/>
      <c r="P161" s="1065"/>
      <c r="Q161" s="1065"/>
      <c r="X161" s="1066"/>
      <c r="Y161" s="1066"/>
      <c r="Z161" s="1066"/>
    </row>
    <row r="162" spans="15:26" ht="30" customHeight="1">
      <c r="O162" s="1065"/>
      <c r="P162" s="1065"/>
      <c r="Q162" s="1065"/>
      <c r="X162" s="1066"/>
      <c r="Y162" s="1066"/>
      <c r="Z162" s="1066"/>
    </row>
    <row r="163" spans="15:26" ht="30" customHeight="1">
      <c r="O163" s="1065"/>
      <c r="P163" s="1065"/>
      <c r="Q163" s="1065"/>
      <c r="X163" s="1066"/>
      <c r="Y163" s="1066"/>
      <c r="Z163" s="1066"/>
    </row>
    <row r="164" spans="15:26" ht="30" customHeight="1">
      <c r="O164" s="1065"/>
      <c r="P164" s="1065"/>
      <c r="Q164" s="1065"/>
      <c r="X164" s="1066"/>
      <c r="Y164" s="1066"/>
      <c r="Z164" s="1066"/>
    </row>
    <row r="165" spans="15:26" ht="30" customHeight="1">
      <c r="O165" s="1065"/>
      <c r="P165" s="1065"/>
      <c r="Q165" s="1065"/>
      <c r="X165" s="1066"/>
      <c r="Y165" s="1066"/>
      <c r="Z165" s="1066"/>
    </row>
    <row r="166" spans="15:26" ht="30" customHeight="1">
      <c r="O166" s="1065"/>
      <c r="P166" s="1065"/>
      <c r="Q166" s="1065"/>
      <c r="X166" s="1066"/>
      <c r="Y166" s="1066"/>
      <c r="Z166" s="1066"/>
    </row>
    <row r="167" spans="15:26" ht="30" customHeight="1">
      <c r="O167" s="1065"/>
      <c r="P167" s="1065"/>
      <c r="Q167" s="1065"/>
      <c r="X167" s="1066"/>
      <c r="Y167" s="1066"/>
      <c r="Z167" s="1066"/>
    </row>
    <row r="168" spans="15:26" ht="30" customHeight="1">
      <c r="O168" s="1065"/>
      <c r="P168" s="1065"/>
      <c r="Q168" s="1065"/>
      <c r="X168" s="1066"/>
      <c r="Y168" s="1066"/>
      <c r="Z168" s="1066"/>
    </row>
    <row r="169" spans="15:26" ht="30" customHeight="1">
      <c r="O169" s="1065"/>
      <c r="P169" s="1065"/>
      <c r="Q169" s="1065"/>
      <c r="X169" s="1066"/>
      <c r="Y169" s="1066"/>
      <c r="Z169" s="1066"/>
    </row>
    <row r="170" spans="15:26" ht="30" customHeight="1">
      <c r="O170" s="1065"/>
      <c r="P170" s="1065"/>
      <c r="Q170" s="1065"/>
      <c r="X170" s="1066"/>
      <c r="Y170" s="1066"/>
      <c r="Z170" s="1066"/>
    </row>
    <row r="171" spans="15:26" ht="30" customHeight="1">
      <c r="O171" s="1065"/>
      <c r="P171" s="1065"/>
      <c r="Q171" s="1065"/>
      <c r="X171" s="1066"/>
      <c r="Y171" s="1066"/>
      <c r="Z171" s="1066"/>
    </row>
    <row r="172" spans="15:26" ht="30" customHeight="1">
      <c r="O172" s="1065"/>
      <c r="P172" s="1065"/>
      <c r="Q172" s="1065"/>
      <c r="X172" s="1066"/>
      <c r="Y172" s="1066"/>
      <c r="Z172" s="1066"/>
    </row>
    <row r="173" spans="15:26" ht="30" customHeight="1">
      <c r="O173" s="1065"/>
      <c r="P173" s="1065"/>
      <c r="Q173" s="1065"/>
      <c r="X173" s="1066"/>
      <c r="Y173" s="1066"/>
      <c r="Z173" s="1066"/>
    </row>
    <row r="174" spans="15:26" ht="30" customHeight="1">
      <c r="O174" s="1065"/>
      <c r="P174" s="1065"/>
      <c r="Q174" s="1065"/>
      <c r="X174" s="1066"/>
      <c r="Y174" s="1066"/>
      <c r="Z174" s="1066"/>
    </row>
    <row r="175" spans="15:26" ht="30" customHeight="1">
      <c r="O175" s="1065"/>
      <c r="P175" s="1065"/>
      <c r="Q175" s="1065"/>
      <c r="X175" s="1066"/>
      <c r="Y175" s="1066"/>
      <c r="Z175" s="1066"/>
    </row>
    <row r="176" spans="15:26" ht="30" customHeight="1">
      <c r="O176" s="1065"/>
      <c r="P176" s="1065"/>
      <c r="Q176" s="1065"/>
      <c r="X176" s="1066"/>
      <c r="Y176" s="1066"/>
      <c r="Z176" s="1066"/>
    </row>
    <row r="177" spans="15:26" ht="30" customHeight="1">
      <c r="O177" s="1065"/>
      <c r="P177" s="1065"/>
      <c r="Q177" s="1065"/>
      <c r="X177" s="1066"/>
      <c r="Y177" s="1066"/>
      <c r="Z177" s="1066"/>
    </row>
    <row r="178" spans="15:26" ht="30" customHeight="1">
      <c r="O178" s="1065"/>
      <c r="P178" s="1065"/>
      <c r="Q178" s="1065"/>
      <c r="X178" s="1066"/>
      <c r="Y178" s="1066"/>
      <c r="Z178" s="1066"/>
    </row>
    <row r="179" spans="15:26" ht="30" customHeight="1">
      <c r="O179" s="1065"/>
      <c r="P179" s="1065"/>
      <c r="Q179" s="1065"/>
      <c r="X179" s="1066"/>
      <c r="Y179" s="1066"/>
      <c r="Z179" s="1066"/>
    </row>
    <row r="180" spans="15:26" ht="30" customHeight="1">
      <c r="O180" s="1065"/>
      <c r="P180" s="1065"/>
      <c r="Q180" s="1065"/>
      <c r="X180" s="1066"/>
      <c r="Y180" s="1066"/>
      <c r="Z180" s="1066"/>
    </row>
    <row r="181" spans="15:26" ht="30" customHeight="1">
      <c r="O181" s="1065"/>
      <c r="P181" s="1065"/>
      <c r="Q181" s="1065"/>
      <c r="X181" s="1066"/>
      <c r="Y181" s="1066"/>
      <c r="Z181" s="1066"/>
    </row>
    <row r="182" spans="15:26" ht="30" customHeight="1">
      <c r="O182" s="1065"/>
      <c r="P182" s="1065"/>
      <c r="Q182" s="1065"/>
      <c r="X182" s="1066"/>
      <c r="Y182" s="1066"/>
      <c r="Z182" s="1066"/>
    </row>
    <row r="183" spans="15:26" ht="30" customHeight="1">
      <c r="O183" s="1065"/>
      <c r="P183" s="1065"/>
      <c r="Q183" s="1065"/>
      <c r="X183" s="1066"/>
      <c r="Y183" s="1066"/>
      <c r="Z183" s="1066"/>
    </row>
    <row r="184" spans="15:26" ht="30" customHeight="1">
      <c r="O184" s="1065"/>
      <c r="P184" s="1065"/>
      <c r="Q184" s="1065"/>
      <c r="X184" s="1066"/>
      <c r="Y184" s="1066"/>
      <c r="Z184" s="1066"/>
    </row>
    <row r="185" spans="15:26" ht="30" customHeight="1">
      <c r="O185" s="1065"/>
      <c r="P185" s="1065"/>
      <c r="Q185" s="1065"/>
      <c r="X185" s="1066"/>
      <c r="Y185" s="1066"/>
      <c r="Z185" s="1066"/>
    </row>
    <row r="186" spans="15:26" ht="30" customHeight="1">
      <c r="O186" s="1065"/>
      <c r="P186" s="1065"/>
      <c r="Q186" s="1065"/>
      <c r="X186" s="1066"/>
      <c r="Y186" s="1066"/>
      <c r="Z186" s="1066"/>
    </row>
    <row r="187" spans="15:26" ht="30" customHeight="1">
      <c r="O187" s="1065"/>
      <c r="P187" s="1065"/>
      <c r="Q187" s="1065"/>
      <c r="X187" s="1066"/>
      <c r="Y187" s="1066"/>
      <c r="Z187" s="1066"/>
    </row>
    <row r="188" spans="15:26" ht="30" customHeight="1">
      <c r="O188" s="1065"/>
      <c r="X188" s="1066"/>
    </row>
    <row r="189" spans="15:26" ht="30" customHeight="1">
      <c r="O189" s="1065"/>
      <c r="X189" s="1066"/>
    </row>
    <row r="190" spans="15:26" ht="30" customHeight="1">
      <c r="O190" s="1065"/>
      <c r="X190" s="1066"/>
    </row>
    <row r="191" spans="15:26" ht="30" customHeight="1">
      <c r="O191" s="1065"/>
      <c r="X191" s="1066"/>
    </row>
    <row r="192" spans="15:26"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27" customHeight="1"/>
    <row r="296" ht="27" customHeight="1"/>
  </sheetData>
  <sheetProtection password="D8D3" sheet="1" objects="1" scenarios="1"/>
  <phoneticPr fontId="5"/>
  <pageMargins left="0.23622047244094491" right="0.19685039370078741" top="0.98425196850393704" bottom="0.27559055118110237" header="0.51181102362204722" footer="0.19685039370078741"/>
  <pageSetup paperSize="8" scale="35" fitToHeight="0" orientation="landscape" verticalDpi="300"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W7"/>
  <sheetViews>
    <sheetView zoomScaleNormal="100" workbookViewId="0">
      <selection activeCell="U19" sqref="U19"/>
    </sheetView>
  </sheetViews>
  <sheetFormatPr defaultRowHeight="13.5"/>
  <cols>
    <col min="3" max="3" width="18.75" bestFit="1" customWidth="1"/>
    <col min="4" max="4" width="19.5" bestFit="1" customWidth="1"/>
    <col min="5" max="5" width="11.125" bestFit="1" customWidth="1"/>
    <col min="6" max="6" width="17.5" bestFit="1" customWidth="1"/>
    <col min="7" max="7" width="15.25" bestFit="1" customWidth="1"/>
    <col min="8" max="8" width="11.125" bestFit="1" customWidth="1"/>
    <col min="9" max="9" width="28.875" customWidth="1"/>
    <col min="10" max="10" width="13.875" customWidth="1"/>
    <col min="11" max="11" width="16.5" bestFit="1" customWidth="1"/>
    <col min="12" max="12" width="19.5" customWidth="1"/>
    <col min="13" max="16" width="14.375" customWidth="1"/>
    <col min="18" max="18" width="0" hidden="1" customWidth="1"/>
  </cols>
  <sheetData>
    <row r="1" spans="1:23" s="1456" customFormat="1" ht="13.5" customHeight="1">
      <c r="A1" s="2776" t="s">
        <v>1716</v>
      </c>
      <c r="B1" s="2776" t="s">
        <v>1717</v>
      </c>
      <c r="C1" s="2785" t="s">
        <v>1718</v>
      </c>
      <c r="D1" s="2785" t="s">
        <v>1719</v>
      </c>
      <c r="E1" s="2786" t="s">
        <v>1720</v>
      </c>
      <c r="F1" s="2776" t="s">
        <v>1721</v>
      </c>
      <c r="G1" s="2772" t="s">
        <v>1722</v>
      </c>
      <c r="H1" s="2774" t="s">
        <v>1723</v>
      </c>
      <c r="I1" s="2776" t="s">
        <v>1724</v>
      </c>
      <c r="J1" s="2777" t="s">
        <v>1725</v>
      </c>
      <c r="K1" s="2777"/>
      <c r="L1" s="2778" t="s">
        <v>1726</v>
      </c>
      <c r="M1" s="2779"/>
      <c r="N1" s="2779"/>
      <c r="O1" s="2779"/>
      <c r="P1" s="2779"/>
      <c r="Q1" s="2781" t="s">
        <v>1727</v>
      </c>
      <c r="R1" s="2781"/>
      <c r="S1" s="2768" t="s">
        <v>1728</v>
      </c>
      <c r="T1" s="2768" t="s">
        <v>1729</v>
      </c>
      <c r="U1" s="2768" t="s">
        <v>1730</v>
      </c>
      <c r="V1" s="2770" t="s">
        <v>1731</v>
      </c>
      <c r="W1" s="2770" t="s">
        <v>1732</v>
      </c>
    </row>
    <row r="2" spans="1:23" s="1456" customFormat="1" ht="13.5" customHeight="1">
      <c r="A2" s="2776"/>
      <c r="B2" s="2776"/>
      <c r="C2" s="2785"/>
      <c r="D2" s="2785"/>
      <c r="E2" s="2785"/>
      <c r="F2" s="2776"/>
      <c r="G2" s="2773"/>
      <c r="H2" s="2775"/>
      <c r="I2" s="2776"/>
      <c r="J2" s="2777"/>
      <c r="K2" s="2777"/>
      <c r="L2" s="2779"/>
      <c r="M2" s="2779"/>
      <c r="N2" s="2779"/>
      <c r="O2" s="2779"/>
      <c r="P2" s="2779"/>
      <c r="Q2" s="2781"/>
      <c r="R2" s="2781"/>
      <c r="S2" s="2769"/>
      <c r="T2" s="2769"/>
      <c r="U2" s="2769"/>
      <c r="V2" s="2771"/>
      <c r="W2" s="2771"/>
    </row>
    <row r="3" spans="1:23" s="1456" customFormat="1" ht="13.5" customHeight="1">
      <c r="A3" s="2776"/>
      <c r="B3" s="2776"/>
      <c r="C3" s="2785"/>
      <c r="D3" s="2785"/>
      <c r="E3" s="2785"/>
      <c r="F3" s="2776"/>
      <c r="G3" s="2773"/>
      <c r="H3" s="2775"/>
      <c r="I3" s="2776"/>
      <c r="J3" s="2777" t="s">
        <v>1733</v>
      </c>
      <c r="K3" s="2777" t="s">
        <v>1734</v>
      </c>
      <c r="L3" s="2778" t="s">
        <v>1719</v>
      </c>
      <c r="M3" s="2780" t="s">
        <v>1735</v>
      </c>
      <c r="N3" s="2780" t="s">
        <v>1736</v>
      </c>
      <c r="O3" s="2780" t="s">
        <v>1737</v>
      </c>
      <c r="P3" s="2782" t="s">
        <v>1738</v>
      </c>
      <c r="Q3" s="2781" t="s">
        <v>1739</v>
      </c>
      <c r="R3" s="2783" t="s">
        <v>1738</v>
      </c>
      <c r="S3" s="2769"/>
      <c r="T3" s="2769"/>
      <c r="U3" s="2769"/>
      <c r="V3" s="2771"/>
      <c r="W3" s="2771"/>
    </row>
    <row r="4" spans="1:23" s="1456" customFormat="1">
      <c r="A4" s="2776"/>
      <c r="B4" s="2776"/>
      <c r="C4" s="2785"/>
      <c r="D4" s="2785"/>
      <c r="E4" s="2785"/>
      <c r="F4" s="2776"/>
      <c r="G4" s="2773"/>
      <c r="H4" s="2775"/>
      <c r="I4" s="2776"/>
      <c r="J4" s="2777"/>
      <c r="K4" s="2777"/>
      <c r="L4" s="2778"/>
      <c r="M4" s="2780"/>
      <c r="N4" s="2780"/>
      <c r="O4" s="2780"/>
      <c r="P4" s="2779"/>
      <c r="Q4" s="2781"/>
      <c r="R4" s="2784"/>
      <c r="S4" s="2769"/>
      <c r="T4" s="2769"/>
      <c r="U4" s="2769"/>
      <c r="V4" s="2771"/>
      <c r="W4" s="2771"/>
    </row>
    <row r="5" spans="1:23" s="74" customFormat="1" ht="12">
      <c r="A5" s="74">
        <f>VALUE(一般事項!F5&amp;"02")</f>
        <v>2</v>
      </c>
      <c r="B5" s="1457" t="s">
        <v>1740</v>
      </c>
      <c r="C5" s="1458">
        <f>工事情報!G5</f>
        <v>0</v>
      </c>
      <c r="D5" s="1457">
        <f>工事情報!G6</f>
        <v>0</v>
      </c>
      <c r="E5" s="1459" t="str">
        <f>開始画面!B1</f>
        <v>令和2年度</v>
      </c>
      <c r="F5" s="1460">
        <f>工事情報!$G$13</f>
        <v>0</v>
      </c>
      <c r="G5" s="1460">
        <f>一般事項!F20</f>
        <v>0</v>
      </c>
      <c r="H5" s="1461">
        <f>工事情報!G9/1000</f>
        <v>0</v>
      </c>
      <c r="I5" s="1460">
        <f>工事情報!G4</f>
        <v>0</v>
      </c>
      <c r="J5" s="2063" t="str">
        <f>工事情報!K21</f>
        <v/>
      </c>
      <c r="K5" s="2063" t="str">
        <f>工事情報!K27</f>
        <v/>
      </c>
      <c r="L5" s="59">
        <f>工事情報!G6</f>
        <v>0</v>
      </c>
      <c r="M5" s="59">
        <f>一般事項!F13</f>
        <v>0</v>
      </c>
      <c r="N5" s="59">
        <f>一般事項!F14</f>
        <v>0</v>
      </c>
      <c r="O5" s="74">
        <f>一般事項!F12</f>
        <v>0</v>
      </c>
      <c r="P5" s="74">
        <f>一般事項!F11</f>
        <v>0</v>
      </c>
      <c r="Q5" s="74">
        <f>工事情報!$G$8</f>
        <v>0</v>
      </c>
      <c r="S5" s="74">
        <f>確認!$B$1</f>
        <v>162</v>
      </c>
      <c r="T5" s="74">
        <f>確認!$D$1</f>
        <v>0</v>
      </c>
      <c r="V5" s="74">
        <f>チェック!$D$45</f>
        <v>0</v>
      </c>
      <c r="W5" s="74">
        <f>チェック!$D$46</f>
        <v>0</v>
      </c>
    </row>
    <row r="6" spans="1:23">
      <c r="E6" s="1462"/>
    </row>
    <row r="7" spans="1:23">
      <c r="A7" t="str">
        <f>MID(A6,3,2)</f>
        <v/>
      </c>
    </row>
  </sheetData>
  <mergeCells count="26">
    <mergeCell ref="F1:F4"/>
    <mergeCell ref="A1:A4"/>
    <mergeCell ref="B1:B4"/>
    <mergeCell ref="C1:C4"/>
    <mergeCell ref="D1:D4"/>
    <mergeCell ref="E1:E4"/>
    <mergeCell ref="Q1:R2"/>
    <mergeCell ref="O3:O4"/>
    <mergeCell ref="P3:P4"/>
    <mergeCell ref="Q3:Q4"/>
    <mergeCell ref="R3:R4"/>
    <mergeCell ref="G1:G4"/>
    <mergeCell ref="H1:H4"/>
    <mergeCell ref="I1:I4"/>
    <mergeCell ref="J1:K2"/>
    <mergeCell ref="L1:P2"/>
    <mergeCell ref="J3:J4"/>
    <mergeCell ref="K3:K4"/>
    <mergeCell ref="L3:L4"/>
    <mergeCell ref="M3:M4"/>
    <mergeCell ref="N3:N4"/>
    <mergeCell ref="S1:S4"/>
    <mergeCell ref="T1:T4"/>
    <mergeCell ref="U1:U4"/>
    <mergeCell ref="V1:V4"/>
    <mergeCell ref="W1:W4"/>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CCFF"/>
  </sheetPr>
  <dimension ref="A1:AL1905"/>
  <sheetViews>
    <sheetView showGridLines="0" topLeftCell="A2" zoomScale="85" zoomScaleNormal="85" zoomScaleSheetLayoutView="100" workbookViewId="0">
      <selection activeCell="F5" sqref="F5"/>
    </sheetView>
  </sheetViews>
  <sheetFormatPr defaultRowHeight="13.5"/>
  <cols>
    <col min="1" max="1" width="2.625" style="3" customWidth="1"/>
    <col min="2" max="2" width="3.625" style="3" customWidth="1"/>
    <col min="3" max="3" width="2.5" style="3" customWidth="1"/>
    <col min="4" max="4" width="29.25" style="3" customWidth="1"/>
    <col min="5" max="5" width="3.375" style="150" customWidth="1"/>
    <col min="6" max="6" width="44.625" customWidth="1"/>
    <col min="7" max="7" width="35.625" customWidth="1"/>
    <col min="8" max="8" width="16.5" style="1596" hidden="1" customWidth="1"/>
    <col min="9" max="10" width="40.375" style="1709" hidden="1" customWidth="1"/>
    <col min="11" max="13" width="0" style="1709" hidden="1" customWidth="1"/>
    <col min="14" max="14" width="11.375" style="1709" hidden="1" customWidth="1"/>
    <col min="15" max="15" width="12.125" style="1709" hidden="1" customWidth="1"/>
  </cols>
  <sheetData>
    <row r="1" spans="1:15" s="19" customFormat="1" ht="11.25" hidden="1" customHeight="1">
      <c r="A1" s="808" t="s">
        <v>642</v>
      </c>
      <c r="B1" s="808">
        <f>COUNTIF($E$5:$E$96,"※")</f>
        <v>26</v>
      </c>
      <c r="C1" s="809" t="s">
        <v>643</v>
      </c>
      <c r="D1" s="808">
        <f>COUNTIF($E$10:$E$96,"E")+COUNTIF($E$10:$E$96,"Ｅ")</f>
        <v>0</v>
      </c>
      <c r="E1" s="150"/>
      <c r="F1" s="3"/>
      <c r="G1" s="3"/>
      <c r="H1" s="1596"/>
      <c r="I1" s="1708"/>
      <c r="J1" s="1708"/>
      <c r="K1" s="1708"/>
      <c r="L1" s="1708"/>
      <c r="M1" s="1708"/>
      <c r="N1" s="1708"/>
      <c r="O1" s="1708"/>
    </row>
    <row r="2" spans="1:15" s="3" customFormat="1" ht="27" customHeight="1">
      <c r="A2" s="19"/>
      <c r="B2" s="24"/>
      <c r="C2" s="19"/>
      <c r="D2" s="4"/>
      <c r="E2" s="150"/>
      <c r="H2" s="1596"/>
      <c r="I2" s="1022"/>
      <c r="J2" s="1022"/>
      <c r="K2" s="1022"/>
      <c r="L2" s="1022"/>
      <c r="M2" s="1022"/>
      <c r="N2" s="1022"/>
      <c r="O2" s="1022"/>
    </row>
    <row r="3" spans="1:15" s="19" customFormat="1" ht="24" customHeight="1">
      <c r="B3" s="2277" t="s">
        <v>707</v>
      </c>
      <c r="C3" s="2278"/>
      <c r="D3" s="2279"/>
      <c r="E3" s="2266" t="str">
        <f>IF(工事情報!G4="","",工事情報!G4)</f>
        <v/>
      </c>
      <c r="F3" s="2267"/>
      <c r="G3" s="3"/>
      <c r="H3" s="1596"/>
      <c r="I3" s="1708"/>
      <c r="J3" s="1708"/>
      <c r="K3" s="1708"/>
      <c r="L3" s="1708"/>
      <c r="M3" s="1708"/>
      <c r="N3" s="1708"/>
      <c r="O3" s="1708"/>
    </row>
    <row r="4" spans="1:15" s="3" customFormat="1" ht="12.75" customHeight="1">
      <c r="A4" s="19"/>
      <c r="B4" s="24"/>
      <c r="C4" s="4"/>
      <c r="D4" s="4"/>
      <c r="E4" s="150"/>
      <c r="H4" s="1596"/>
      <c r="I4" s="1022"/>
      <c r="J4" s="1022"/>
      <c r="K4" s="1022"/>
      <c r="L4" s="1022"/>
      <c r="M4" s="1022"/>
      <c r="N4" s="1022"/>
      <c r="O4" s="1022"/>
    </row>
    <row r="5" spans="1:15" s="3" customFormat="1" ht="30" customHeight="1">
      <c r="A5" s="19"/>
      <c r="B5" s="24"/>
      <c r="C5" s="2280" t="s">
        <v>2148</v>
      </c>
      <c r="D5" s="2281"/>
      <c r="E5" s="149" t="str">
        <f t="shared" ref="E5" si="0">IF(F5="","※","")</f>
        <v>※</v>
      </c>
      <c r="F5" s="705"/>
      <c r="G5" s="1832" t="str">
        <f>IF(F5="","*整理番号を入力して下さい。","")</f>
        <v>*整理番号を入力して下さい。</v>
      </c>
      <c r="H5" s="1596"/>
      <c r="I5" s="1022"/>
      <c r="J5" s="1022"/>
      <c r="K5" s="1022"/>
      <c r="L5" s="1022"/>
      <c r="M5" s="1022"/>
      <c r="N5" s="1022"/>
      <c r="O5" s="1022"/>
    </row>
    <row r="6" spans="1:15" s="3" customFormat="1" ht="12" customHeight="1">
      <c r="A6" s="19"/>
      <c r="B6" s="24"/>
      <c r="C6" s="4"/>
      <c r="D6" s="4"/>
      <c r="E6" s="150"/>
      <c r="H6" s="1596"/>
      <c r="I6" s="1022"/>
      <c r="J6" s="1022"/>
      <c r="K6" s="1022"/>
      <c r="L6" s="1022"/>
      <c r="M6" s="1022"/>
      <c r="N6" s="1022"/>
      <c r="O6" s="1022"/>
    </row>
    <row r="7" spans="1:15" s="3" customFormat="1" ht="13.5" customHeight="1">
      <c r="A7" s="19"/>
      <c r="B7" s="24"/>
      <c r="C7" s="4" t="s">
        <v>411</v>
      </c>
      <c r="D7" s="4"/>
      <c r="E7" s="150"/>
      <c r="H7" s="1597"/>
      <c r="I7" s="1022"/>
      <c r="J7" s="1022"/>
      <c r="K7" s="1022"/>
      <c r="L7" s="1022"/>
      <c r="M7" s="1022"/>
      <c r="N7" s="1022"/>
      <c r="O7" s="1022"/>
    </row>
    <row r="8" spans="1:15" s="3" customFormat="1" ht="13.5" customHeight="1">
      <c r="B8" s="24"/>
      <c r="C8" s="24"/>
      <c r="D8" s="72"/>
      <c r="E8" s="150"/>
      <c r="H8" s="1597"/>
      <c r="I8" s="1022"/>
      <c r="J8" s="1022"/>
      <c r="K8" s="1022"/>
      <c r="L8" s="1022"/>
      <c r="M8" s="1022"/>
      <c r="N8" s="1022"/>
      <c r="O8" s="1022"/>
    </row>
    <row r="9" spans="1:15" s="3" customFormat="1" ht="13.5" customHeight="1">
      <c r="A9" s="19"/>
      <c r="B9" s="76" t="s">
        <v>409</v>
      </c>
      <c r="C9" s="75" t="s">
        <v>292</v>
      </c>
      <c r="D9" s="14"/>
      <c r="E9" s="150"/>
      <c r="H9" s="1597"/>
      <c r="I9" s="1022"/>
      <c r="J9" s="1022"/>
      <c r="K9" s="1022"/>
      <c r="L9" s="1022"/>
      <c r="M9" s="1022"/>
      <c r="N9" s="1022"/>
      <c r="O9" s="1022"/>
    </row>
    <row r="10" spans="1:15" s="3" customFormat="1" ht="26.25" customHeight="1">
      <c r="C10" s="239"/>
      <c r="D10" s="240" t="s">
        <v>675</v>
      </c>
      <c r="E10" s="149" t="str">
        <f t="shared" ref="E10:E16" si="1">IF(F10="","※","")</f>
        <v>※</v>
      </c>
      <c r="F10" s="1955"/>
      <c r="G10" s="15"/>
      <c r="H10" s="1597"/>
      <c r="I10" s="1022"/>
      <c r="J10" s="1022"/>
      <c r="K10" s="1022"/>
      <c r="L10" s="1022"/>
      <c r="M10" s="1022"/>
      <c r="N10" s="1022"/>
      <c r="O10" s="1022"/>
    </row>
    <row r="11" spans="1:15" s="3" customFormat="1" ht="26.25" customHeight="1">
      <c r="B11" s="24"/>
      <c r="C11" s="16"/>
      <c r="D11" s="40" t="s">
        <v>171</v>
      </c>
      <c r="E11" s="149" t="str">
        <f t="shared" si="1"/>
        <v>※</v>
      </c>
      <c r="F11" s="705"/>
      <c r="G11" s="15"/>
      <c r="H11" s="1597"/>
      <c r="I11" s="1022"/>
      <c r="J11" s="1022"/>
      <c r="K11" s="1022"/>
      <c r="L11" s="1022"/>
      <c r="M11" s="1022"/>
      <c r="N11" s="1022"/>
      <c r="O11" s="1022"/>
    </row>
    <row r="12" spans="1:15" s="3" customFormat="1" ht="26.25" customHeight="1">
      <c r="B12" s="24"/>
      <c r="C12" s="16"/>
      <c r="D12" s="40" t="s">
        <v>172</v>
      </c>
      <c r="E12" s="149" t="str">
        <f t="shared" si="1"/>
        <v>※</v>
      </c>
      <c r="F12" s="705"/>
      <c r="G12" s="15"/>
      <c r="H12" s="1597"/>
      <c r="I12" s="1022"/>
      <c r="J12" s="1022"/>
      <c r="K12" s="1022"/>
      <c r="L12" s="1022"/>
      <c r="M12" s="1022"/>
      <c r="N12" s="1022"/>
      <c r="O12" s="1022"/>
    </row>
    <row r="13" spans="1:15" s="3" customFormat="1" ht="26.25" customHeight="1">
      <c r="B13" s="24"/>
      <c r="C13" s="16"/>
      <c r="D13" s="40" t="s">
        <v>280</v>
      </c>
      <c r="E13" s="149" t="str">
        <f t="shared" si="1"/>
        <v>※</v>
      </c>
      <c r="F13" s="705"/>
      <c r="G13" s="15"/>
      <c r="H13" s="1598"/>
      <c r="I13" s="1022"/>
      <c r="J13" s="1022"/>
      <c r="K13" s="1022"/>
      <c r="L13" s="1022"/>
      <c r="M13" s="1022"/>
      <c r="N13" s="1022"/>
      <c r="O13" s="1022"/>
    </row>
    <row r="14" spans="1:15" s="3" customFormat="1" ht="26.25" customHeight="1">
      <c r="B14" s="24"/>
      <c r="C14" s="16"/>
      <c r="D14" s="260" t="s">
        <v>427</v>
      </c>
      <c r="E14" s="149" t="str">
        <f t="shared" si="1"/>
        <v>※</v>
      </c>
      <c r="F14" s="705"/>
      <c r="H14" s="1597"/>
      <c r="I14" s="1022"/>
      <c r="J14" s="1022"/>
      <c r="K14" s="1022"/>
      <c r="L14" s="1022"/>
      <c r="M14" s="1022"/>
      <c r="N14" s="1022"/>
      <c r="O14" s="1022"/>
    </row>
    <row r="15" spans="1:15" s="3" customFormat="1" ht="26.25" customHeight="1">
      <c r="B15" s="24"/>
      <c r="C15" s="16"/>
      <c r="D15" s="40" t="s">
        <v>314</v>
      </c>
      <c r="E15" s="149" t="str">
        <f t="shared" si="1"/>
        <v>※</v>
      </c>
      <c r="F15" s="705"/>
      <c r="G15" s="64" t="s">
        <v>293</v>
      </c>
      <c r="H15" s="1596"/>
      <c r="I15" s="1022"/>
      <c r="J15" s="1022"/>
      <c r="K15" s="1022"/>
      <c r="L15" s="1022"/>
      <c r="M15" s="1022"/>
      <c r="N15" s="1022"/>
      <c r="O15" s="1022"/>
    </row>
    <row r="16" spans="1:15" ht="26.25" customHeight="1">
      <c r="B16" s="19"/>
      <c r="C16" s="16"/>
      <c r="D16" s="40" t="s">
        <v>541</v>
      </c>
      <c r="E16" s="149" t="str">
        <f t="shared" si="1"/>
        <v>※</v>
      </c>
      <c r="F16" s="705"/>
      <c r="G16" s="64" t="s">
        <v>294</v>
      </c>
    </row>
    <row r="17" spans="2:15" s="3" customFormat="1">
      <c r="B17" s="19"/>
      <c r="C17" s="19"/>
      <c r="D17" s="19"/>
      <c r="E17" s="150"/>
      <c r="F17" s="19"/>
      <c r="G17" s="24"/>
      <c r="H17" s="1596"/>
      <c r="I17" s="1022"/>
      <c r="J17" s="1022"/>
      <c r="K17" s="1022"/>
      <c r="L17" s="1022"/>
      <c r="M17" s="1022"/>
      <c r="N17" s="1022"/>
      <c r="O17" s="1022"/>
    </row>
    <row r="18" spans="2:15" s="3" customFormat="1" ht="13.5" customHeight="1">
      <c r="B18" s="23" t="s">
        <v>410</v>
      </c>
      <c r="C18" s="11" t="s">
        <v>679</v>
      </c>
      <c r="D18" s="831"/>
      <c r="E18" s="151"/>
      <c r="F18" s="2"/>
      <c r="G18" s="4"/>
      <c r="H18" s="1596"/>
      <c r="I18" s="1022"/>
      <c r="J18" s="1022"/>
      <c r="K18" s="1022"/>
      <c r="L18" s="1022"/>
      <c r="M18" s="1022"/>
      <c r="N18" s="1022"/>
      <c r="O18" s="1022"/>
    </row>
    <row r="19" spans="2:15" ht="26.25" hidden="1" customHeight="1">
      <c r="C19" s="1494"/>
      <c r="D19" s="1495" t="s">
        <v>1673</v>
      </c>
      <c r="E19" s="1578"/>
      <c r="F19" s="1579"/>
      <c r="G19" s="191" t="str">
        <f>IF(E19="E","所管名を確認して下さい。","")</f>
        <v/>
      </c>
    </row>
    <row r="20" spans="2:15" ht="26.25" customHeight="1">
      <c r="C20" s="16"/>
      <c r="D20" s="14" t="s">
        <v>678</v>
      </c>
      <c r="E20" s="149" t="str">
        <f t="shared" ref="E20:E25" si="2">IF(F20="","※","")</f>
        <v>※</v>
      </c>
      <c r="F20" s="207"/>
      <c r="G20" s="191"/>
      <c r="H20" s="1599" t="str">
        <f>MID(F20,5,100)</f>
        <v/>
      </c>
    </row>
    <row r="21" spans="2:15" ht="26.25" customHeight="1">
      <c r="C21" s="16"/>
      <c r="D21" s="40" t="s">
        <v>988</v>
      </c>
      <c r="E21" s="149" t="str">
        <f t="shared" si="2"/>
        <v>※</v>
      </c>
      <c r="F21" s="929"/>
      <c r="G21" s="191" t="str">
        <f>IF(E21="E","もう１度選択して下さい。","")</f>
        <v/>
      </c>
    </row>
    <row r="22" spans="2:15" ht="26.25" customHeight="1">
      <c r="C22" s="16"/>
      <c r="D22" s="1488" t="s">
        <v>1807</v>
      </c>
      <c r="E22" s="149" t="str">
        <f t="shared" si="2"/>
        <v>※</v>
      </c>
      <c r="F22" s="1702"/>
      <c r="G22" s="4"/>
    </row>
    <row r="23" spans="2:15" ht="26.25" customHeight="1">
      <c r="C23" s="11"/>
      <c r="D23" s="548" t="s">
        <v>312</v>
      </c>
      <c r="E23" s="149" t="str">
        <f t="shared" si="2"/>
        <v>※</v>
      </c>
      <c r="F23" s="1080"/>
      <c r="G23" s="4"/>
    </row>
    <row r="24" spans="2:15" ht="26.25" customHeight="1">
      <c r="C24" s="16"/>
      <c r="D24" s="1488" t="s">
        <v>1808</v>
      </c>
      <c r="E24" s="149" t="str">
        <f t="shared" ref="E24" si="3">IF(F24="","※","")</f>
        <v>※</v>
      </c>
      <c r="F24" s="1079"/>
      <c r="H24" s="1600" t="e">
        <f>HLOOKUP(F24,Table!$A$345:$F$346,2,0)</f>
        <v>#N/A</v>
      </c>
    </row>
    <row r="25" spans="2:15" ht="30" customHeight="1">
      <c r="C25" s="606"/>
      <c r="D25" s="2268" t="s">
        <v>1002</v>
      </c>
      <c r="E25" s="2271" t="str">
        <f t="shared" si="2"/>
        <v>※</v>
      </c>
      <c r="F25" s="2274"/>
      <c r="G25" s="2265" t="s">
        <v>5726</v>
      </c>
    </row>
    <row r="26" spans="2:15" ht="30" customHeight="1">
      <c r="C26" s="607"/>
      <c r="D26" s="2269"/>
      <c r="E26" s="2272"/>
      <c r="F26" s="2275"/>
      <c r="G26" s="2265"/>
    </row>
    <row r="27" spans="2:15">
      <c r="C27" s="571"/>
      <c r="D27" s="2270"/>
      <c r="E27" s="2273"/>
      <c r="F27" s="2276"/>
      <c r="G27" s="2265"/>
    </row>
    <row r="28" spans="2:15">
      <c r="F28" s="576"/>
      <c r="G28" s="4"/>
    </row>
    <row r="29" spans="2:15">
      <c r="B29" s="221" t="s">
        <v>193</v>
      </c>
      <c r="C29" s="265" t="s">
        <v>203</v>
      </c>
      <c r="D29" s="620"/>
      <c r="E29" s="569"/>
      <c r="F29" s="86"/>
      <c r="G29" s="4"/>
    </row>
    <row r="30" spans="2:15" ht="26.25" customHeight="1">
      <c r="B30" s="241"/>
      <c r="C30" s="2122"/>
      <c r="D30" s="1249" t="s">
        <v>5580</v>
      </c>
      <c r="E30" s="1583" t="str">
        <f>IF(F30="","※","")</f>
        <v>※</v>
      </c>
      <c r="F30" s="589"/>
      <c r="G30" s="242"/>
    </row>
    <row r="31" spans="2:15" ht="26.25" customHeight="1">
      <c r="B31" s="241"/>
      <c r="C31" s="2123"/>
      <c r="D31" s="1815" t="s">
        <v>5581</v>
      </c>
      <c r="E31" s="154" t="str">
        <f>IF(F31="","※","")</f>
        <v>※</v>
      </c>
      <c r="F31" s="142"/>
      <c r="G31" s="618"/>
    </row>
    <row r="32" spans="2:15">
      <c r="B32" s="241"/>
      <c r="C32" s="548"/>
      <c r="D32" s="657"/>
      <c r="E32" s="455"/>
      <c r="F32" s="588"/>
      <c r="G32" s="4"/>
      <c r="H32" s="1609" t="str">
        <f>IF(OR(H20="舗装工事（新設）",H20="舗装工事（修繕工事）",H20="電線共同溝工事",H20="道路維持工事",H20="鋼橋架設工事",H20="橋梁保全工事"),"要確認","")</f>
        <v/>
      </c>
    </row>
    <row r="33" spans="2:8">
      <c r="B33" s="1574" t="s">
        <v>90</v>
      </c>
      <c r="C33" s="1248" t="s">
        <v>1641</v>
      </c>
      <c r="D33" s="1575"/>
      <c r="E33" s="569"/>
      <c r="F33" s="1580"/>
      <c r="G33" s="1593"/>
      <c r="H33" s="1610" t="str">
        <f>IF(OR(F24="H29年度",F24="H30年度"),IF(OR(VALUE(LEFT(F34,1))=1,VALUE(LEFT(F34,1))=2,VALUE(LEFT(F34,1))=3),"要確認",""),IF(F24="H28年度以前",IF(OR(VALUE(LEFT(F34,1))=4,VALUE(LEFT(F34,1))=5,VALUE(LEFT(F34,1))=6),"要確認",""),""))</f>
        <v/>
      </c>
    </row>
    <row r="34" spans="2:8" ht="26.25" customHeight="1">
      <c r="B34" s="1307"/>
      <c r="C34" s="510"/>
      <c r="D34" s="1585" t="s">
        <v>1642</v>
      </c>
      <c r="E34" s="1583" t="str">
        <f>IF(F34="","※",IF(OR(H32&lt;&gt;"",H33&lt;&gt;""),IF(H34=0,"E",""),""))</f>
        <v>※</v>
      </c>
      <c r="F34" s="1584"/>
      <c r="G34" s="1400" t="str">
        <f>IF(E34="E","選択された工種に設定されていない補正を選択しています。","")</f>
        <v/>
      </c>
      <c r="H34" s="1608" t="b">
        <f>IF(OR(F24="2017年度",F24="2018年度",F24="2019年度"),COUNTIFS(Table!A375:A413,一般事項!H20,Table!B375:B413,一般事項!F34),IF(F24="H28年度以前",COUNTIFS(Table!A375:A413,一般事項!H20,Table!C375:C413,一般事項!F34)))</f>
        <v>0</v>
      </c>
    </row>
    <row r="35" spans="2:8" ht="30.75" customHeight="1">
      <c r="B35" s="250"/>
      <c r="C35" s="322"/>
      <c r="D35" s="1588" t="s">
        <v>1831</v>
      </c>
      <c r="E35" s="936" t="str">
        <f>IF(AND(H35="要確認",F35=""),"※",IF(AND(H35="",F35&lt;&gt;""),"E",""))</f>
        <v/>
      </c>
      <c r="F35" s="1586"/>
      <c r="G35" s="1400"/>
      <c r="H35" s="1603" t="str">
        <f>IF(MID(F34,3,8)="一般交通影響有り","要確認","")</f>
        <v/>
      </c>
    </row>
    <row r="36" spans="2:8" ht="30.75" customHeight="1">
      <c r="B36" s="250"/>
      <c r="C36" s="571"/>
      <c r="D36" s="1589" t="s">
        <v>1830</v>
      </c>
      <c r="E36" s="154" t="str">
        <f>IF(AND(H36="要確認",F36=""),"※",IF(AND(H36="",F36&lt;&gt;""),"E",""))</f>
        <v/>
      </c>
      <c r="F36" s="1587"/>
      <c r="G36" s="1400"/>
      <c r="H36" s="1602" t="str">
        <f>IF(OR(F34="2：山間僻地及び離島（1.0%）",F34="7：山間僻地及び離島（×1.3）",F34="10：山間僻地及び離島（×1.3）"),"要確認","")</f>
        <v/>
      </c>
    </row>
    <row r="37" spans="2:8" ht="37.5" customHeight="1">
      <c r="B37" s="250"/>
      <c r="C37" s="1581"/>
      <c r="D37" s="1582" t="s">
        <v>1829</v>
      </c>
      <c r="E37" s="153" t="str">
        <f>IF(F37="","※","")</f>
        <v>※</v>
      </c>
      <c r="F37" s="1584"/>
      <c r="G37" s="1400"/>
      <c r="H37" s="1602"/>
    </row>
    <row r="38" spans="2:8" ht="26.25" customHeight="1">
      <c r="B38" s="250"/>
      <c r="C38" s="1581"/>
      <c r="D38" s="1582" t="s">
        <v>1827</v>
      </c>
      <c r="E38" s="153" t="str">
        <f>IF(F38="","※","")</f>
        <v>※</v>
      </c>
      <c r="F38" s="1584"/>
      <c r="G38" s="1400"/>
      <c r="H38" s="1602"/>
    </row>
    <row r="39" spans="2:8" ht="26.25" customHeight="1">
      <c r="B39" s="250"/>
      <c r="C39" s="1581"/>
      <c r="D39" s="1582" t="s">
        <v>2094</v>
      </c>
      <c r="E39" s="153" t="str">
        <f>IF(F39="","※","")</f>
        <v>※</v>
      </c>
      <c r="F39" s="1584"/>
      <c r="G39" s="1400"/>
      <c r="H39" s="1602"/>
    </row>
    <row r="40" spans="2:8" ht="26.25" customHeight="1">
      <c r="B40" s="250"/>
      <c r="C40" s="1581"/>
      <c r="D40" s="1582" t="s">
        <v>1828</v>
      </c>
      <c r="E40" s="153" t="str">
        <f>IF(F40="","※","")</f>
        <v>※</v>
      </c>
      <c r="F40" s="1584"/>
      <c r="G40" s="1400"/>
      <c r="H40" s="1602"/>
    </row>
    <row r="41" spans="2:8" ht="26.25" hidden="1" customHeight="1">
      <c r="B41" s="1308"/>
      <c r="C41" s="1581"/>
      <c r="D41" s="1590" t="s">
        <v>468</v>
      </c>
      <c r="E41" s="153"/>
      <c r="F41" s="589"/>
      <c r="G41" s="619"/>
      <c r="H41" s="1601"/>
    </row>
    <row r="42" spans="2:8" ht="26.25" hidden="1" customHeight="1">
      <c r="B42" s="622"/>
      <c r="C42" s="571"/>
      <c r="D42" s="1591" t="s">
        <v>768</v>
      </c>
      <c r="E42" s="154"/>
      <c r="F42" s="1587"/>
      <c r="G42" s="194" t="str">
        <f>IF(AND(OR(F41="2：補正なし",F41=""),F42&lt;&gt;""),"除雪工事補正の有無欄で「補正有り」を選択してください。",IF(F41="2：補正なし","←入力不要",""))</f>
        <v/>
      </c>
      <c r="H42" s="1604"/>
    </row>
    <row r="43" spans="2:8" ht="26.25" customHeight="1">
      <c r="B43" s="250"/>
      <c r="C43" s="1581"/>
      <c r="D43" s="1582" t="s">
        <v>2314</v>
      </c>
      <c r="E43" s="153" t="str">
        <f>IF(F43="","※","")</f>
        <v>※</v>
      </c>
      <c r="F43" s="1584"/>
      <c r="G43" s="1400"/>
      <c r="H43" s="1602"/>
    </row>
    <row r="44" spans="2:8" ht="26.25" customHeight="1">
      <c r="B44" s="622"/>
      <c r="C44" s="1581"/>
      <c r="D44" s="1590" t="s">
        <v>1891</v>
      </c>
      <c r="E44" s="1696" t="str">
        <f>IF(AND(F44="",OR(F45&lt;&gt;"",F46&lt;&gt;"")),"※","")</f>
        <v/>
      </c>
      <c r="F44" s="589"/>
      <c r="G44" s="194"/>
      <c r="H44" s="1604"/>
    </row>
    <row r="45" spans="2:8" ht="26.25" customHeight="1">
      <c r="B45" s="622"/>
      <c r="C45" s="1694"/>
      <c r="D45" s="1588" t="s">
        <v>2033</v>
      </c>
      <c r="E45" s="2263" t="str">
        <f>IF(F44&lt;&gt;"",IF(AND(F45="",F46=""),"※",IF(AND(F45&lt;&gt;"",F46&lt;&gt;""),"E","")),"")</f>
        <v/>
      </c>
      <c r="F45" s="2127"/>
      <c r="G45" s="194"/>
      <c r="H45" s="1604"/>
    </row>
    <row r="46" spans="2:8" ht="26.25" customHeight="1">
      <c r="B46" s="622"/>
      <c r="C46" s="549"/>
      <c r="D46" s="1591" t="s">
        <v>1892</v>
      </c>
      <c r="E46" s="2264"/>
      <c r="F46" s="1697"/>
      <c r="G46" s="194"/>
      <c r="H46" s="1604"/>
    </row>
    <row r="47" spans="2:8" ht="26.25" customHeight="1">
      <c r="B47" s="622"/>
      <c r="C47" s="1581"/>
      <c r="D47" s="1590" t="s">
        <v>1891</v>
      </c>
      <c r="E47" s="1696" t="str">
        <f>IF(AND(F47="",OR(F48&lt;&gt;"",F49&lt;&gt;"")),"※","")</f>
        <v/>
      </c>
      <c r="F47" s="589"/>
      <c r="G47" s="194"/>
      <c r="H47" s="1604"/>
    </row>
    <row r="48" spans="2:8" ht="26.25" customHeight="1">
      <c r="B48" s="622"/>
      <c r="C48" s="1694"/>
      <c r="D48" s="1588" t="s">
        <v>2033</v>
      </c>
      <c r="E48" s="2263" t="str">
        <f>IF(F47&lt;&gt;"",IF(AND(F48="",F49=""),"※",IF(AND(F48&lt;&gt;"",F49&lt;&gt;""),"E","")),"")</f>
        <v/>
      </c>
      <c r="F48" s="2127"/>
      <c r="G48" s="194"/>
      <c r="H48" s="1604"/>
    </row>
    <row r="49" spans="1:8" ht="26.25" customHeight="1">
      <c r="B49" s="622"/>
      <c r="C49" s="549"/>
      <c r="D49" s="1591" t="s">
        <v>1892</v>
      </c>
      <c r="E49" s="2264"/>
      <c r="F49" s="1697"/>
      <c r="G49" s="194"/>
      <c r="H49" s="1604"/>
    </row>
    <row r="50" spans="1:8" ht="26.25" customHeight="1">
      <c r="B50" s="622"/>
      <c r="C50" s="1581"/>
      <c r="D50" s="1590" t="s">
        <v>1891</v>
      </c>
      <c r="E50" s="1696" t="str">
        <f>IF(AND(F50="",OR(F51&lt;&gt;"",F52&lt;&gt;"")),"※","")</f>
        <v/>
      </c>
      <c r="F50" s="589"/>
      <c r="G50" s="194"/>
      <c r="H50" s="1604"/>
    </row>
    <row r="51" spans="1:8" ht="26.25" customHeight="1">
      <c r="B51" s="622"/>
      <c r="C51" s="1694"/>
      <c r="D51" s="1588" t="s">
        <v>2033</v>
      </c>
      <c r="E51" s="2263" t="str">
        <f>IF(F50&lt;&gt;"",IF(AND(F51="",F52=""),"※",IF(AND(F51&lt;&gt;"",F52&lt;&gt;""),"E","")),"")</f>
        <v/>
      </c>
      <c r="F51" s="2127"/>
      <c r="G51" s="194"/>
      <c r="H51" s="1604"/>
    </row>
    <row r="52" spans="1:8" ht="26.25" customHeight="1">
      <c r="B52" s="622"/>
      <c r="C52" s="549"/>
      <c r="D52" s="1591" t="s">
        <v>1892</v>
      </c>
      <c r="E52" s="2264"/>
      <c r="F52" s="1697"/>
      <c r="G52" s="194"/>
      <c r="H52" s="1604"/>
    </row>
    <row r="53" spans="1:8">
      <c r="A53" s="4"/>
      <c r="B53" s="242"/>
      <c r="C53" s="242"/>
      <c r="D53" s="803"/>
      <c r="E53" s="151"/>
      <c r="F53" s="828"/>
      <c r="G53" s="242"/>
      <c r="H53" s="1605"/>
    </row>
    <row r="54" spans="1:8">
      <c r="B54" s="1251" t="s">
        <v>1668</v>
      </c>
      <c r="C54" s="1248" t="s">
        <v>1669</v>
      </c>
      <c r="D54" s="1306"/>
      <c r="E54" s="569"/>
      <c r="F54" s="86"/>
      <c r="G54" s="4"/>
      <c r="H54" s="1601"/>
    </row>
    <row r="55" spans="1:8" ht="26.25" customHeight="1">
      <c r="B55" s="1307"/>
      <c r="C55" s="510"/>
      <c r="D55" s="1249" t="s">
        <v>1642</v>
      </c>
      <c r="E55" s="1583"/>
      <c r="F55" s="1455" t="str">
        <f>IF(F34="","",VLOOKUP(F34,Table!$A$417:$B$440,2,0))</f>
        <v/>
      </c>
      <c r="H55" s="1606" t="str">
        <f>IF(F24="H30年度","Table!"&amp;ADDRESS(MATCH(F34,H30基準書_共通仮設,0)+409,1),IF(F24="H29年度","Table!"&amp;ADDRESS(MATCH(F34,H29基準書_共通仮設,0)+409,2),IF(F24="H28年度以前","Table!"&amp;ADDRESS(MATCH(F34,H28基準書_共通仮設,0)+409,3),"")))</f>
        <v/>
      </c>
    </row>
    <row r="56" spans="1:8" ht="33" customHeight="1">
      <c r="B56" s="250"/>
      <c r="C56" s="1581"/>
      <c r="D56" s="1582" t="s">
        <v>1829</v>
      </c>
      <c r="E56" s="1583"/>
      <c r="F56" s="1594" t="str">
        <f>IF(F37="","",IF(LEFT(F37,1)="2",Table!A463,Table!A462))</f>
        <v/>
      </c>
      <c r="G56" s="4"/>
      <c r="H56" s="1607"/>
    </row>
    <row r="57" spans="1:8" ht="26.25" customHeight="1">
      <c r="B57" s="250"/>
      <c r="C57" s="1581"/>
      <c r="D57" s="1582" t="s">
        <v>1827</v>
      </c>
      <c r="E57" s="1583"/>
      <c r="F57" s="1594" t="str">
        <f>IF(F38="","",IF(OR(LEFT(F38,1)="1",LEFT(F38,1)="2"),"1：補正有り（×1.1）","2：補正無し"))</f>
        <v/>
      </c>
      <c r="G57" s="4"/>
      <c r="H57" s="1607"/>
    </row>
    <row r="58" spans="1:8" ht="26.25" customHeight="1">
      <c r="B58" s="250"/>
      <c r="C58" s="1581"/>
      <c r="D58" s="1582" t="s">
        <v>2094</v>
      </c>
      <c r="E58" s="1583"/>
      <c r="F58" s="1594" t="str">
        <f>IF(F39="","",IF(LEFT(F39,1)="1","1：補正有り（×1.1）","2：補正無し"))</f>
        <v/>
      </c>
      <c r="G58" s="4"/>
      <c r="H58" s="1607"/>
    </row>
    <row r="59" spans="1:8" ht="26.25" customHeight="1">
      <c r="B59" s="250"/>
      <c r="C59" s="1581"/>
      <c r="D59" s="1582" t="s">
        <v>1828</v>
      </c>
      <c r="E59" s="1583"/>
      <c r="F59" s="1594" t="str">
        <f>IF(F40="","",VLOOKUP(F40,$I$81:$J$85,2,0))</f>
        <v/>
      </c>
      <c r="G59" s="4"/>
      <c r="H59" s="1607"/>
    </row>
    <row r="60" spans="1:8" ht="26.25" customHeight="1">
      <c r="B60" s="250"/>
      <c r="C60" s="1581"/>
      <c r="D60" s="1582" t="s">
        <v>2314</v>
      </c>
      <c r="E60" s="1583"/>
      <c r="F60" s="1594" t="str">
        <f>IF(F43="","",IF(LEFT(F43,1)="1","1：補正有り（×1.1）","2：補正無し"))</f>
        <v/>
      </c>
      <c r="G60" s="4"/>
      <c r="H60" s="1607"/>
    </row>
    <row r="61" spans="1:8" ht="33" customHeight="1">
      <c r="B61" s="1308"/>
      <c r="C61" s="265"/>
      <c r="D61" s="1146" t="s">
        <v>2058</v>
      </c>
      <c r="E61" s="149" t="str">
        <f>IF(F61="","※","")</f>
        <v>※</v>
      </c>
      <c r="F61" s="699"/>
      <c r="G61" s="619"/>
      <c r="H61" s="1601"/>
    </row>
    <row r="62" spans="1:8" ht="26.25" customHeight="1">
      <c r="B62" s="622"/>
      <c r="C62" s="1396"/>
      <c r="D62" s="1397" t="s">
        <v>1670</v>
      </c>
      <c r="E62" s="149" t="str">
        <f>IF(F62="","※","")</f>
        <v>※</v>
      </c>
      <c r="F62" s="589"/>
      <c r="G62" s="619"/>
      <c r="H62" s="1601"/>
    </row>
    <row r="63" spans="1:8" ht="35.25" customHeight="1">
      <c r="B63" s="622"/>
      <c r="C63" s="1396"/>
      <c r="D63" s="1397" t="s">
        <v>2097</v>
      </c>
      <c r="E63" s="149" t="str">
        <f>IF(F63="","※","")</f>
        <v>※</v>
      </c>
      <c r="F63" s="589"/>
      <c r="G63" s="619"/>
      <c r="H63" s="1601"/>
    </row>
    <row r="64" spans="1:8" ht="33" hidden="1" customHeight="1">
      <c r="B64" s="622"/>
      <c r="C64" s="265"/>
      <c r="D64" s="1146" t="s">
        <v>1671</v>
      </c>
      <c r="E64" s="149"/>
      <c r="F64" s="589"/>
      <c r="G64" s="194"/>
      <c r="H64" s="1604"/>
    </row>
    <row r="65" spans="1:38" ht="26.25" customHeight="1">
      <c r="B65" s="622"/>
      <c r="C65" s="1581"/>
      <c r="D65" s="1590" t="s">
        <v>1891</v>
      </c>
      <c r="E65" s="1696" t="str">
        <f>IF(AND(F65="",OR(F66&lt;&gt;"",F67&lt;&gt;"")),"※","")</f>
        <v/>
      </c>
      <c r="F65" s="589"/>
      <c r="G65" s="194"/>
      <c r="H65" s="1604"/>
    </row>
    <row r="66" spans="1:38" ht="26.25" customHeight="1">
      <c r="B66" s="622"/>
      <c r="C66" s="1694"/>
      <c r="D66" s="1588" t="s">
        <v>2033</v>
      </c>
      <c r="E66" s="2263" t="str">
        <f>IF(F65&lt;&gt;"",IF(AND(F66="",F67=""),"※",IF(AND(F66&lt;&gt;"",F67&lt;&gt;""),"E","")),"")</f>
        <v/>
      </c>
      <c r="F66" s="1695"/>
      <c r="G66" s="194"/>
      <c r="H66" s="1604"/>
    </row>
    <row r="67" spans="1:38" ht="26.25" customHeight="1">
      <c r="B67" s="622"/>
      <c r="C67" s="549"/>
      <c r="D67" s="1591" t="s">
        <v>1892</v>
      </c>
      <c r="E67" s="2264"/>
      <c r="F67" s="1697"/>
      <c r="G67" s="194"/>
      <c r="H67" s="1604"/>
    </row>
    <row r="68" spans="1:38" ht="26.25" customHeight="1">
      <c r="B68" s="622"/>
      <c r="C68" s="1581"/>
      <c r="D68" s="1590" t="s">
        <v>1891</v>
      </c>
      <c r="E68" s="1696" t="str">
        <f>IF(AND(F68="",OR(F69&lt;&gt;"",F70&lt;&gt;"")),"※","")</f>
        <v/>
      </c>
      <c r="F68" s="589"/>
      <c r="G68" s="194"/>
      <c r="H68" s="1604"/>
    </row>
    <row r="69" spans="1:38" ht="26.25" customHeight="1">
      <c r="B69" s="622"/>
      <c r="C69" s="1694"/>
      <c r="D69" s="1588" t="s">
        <v>2033</v>
      </c>
      <c r="E69" s="2263" t="str">
        <f>IF(F68&lt;&gt;"",IF(AND(F69="",F70=""),"※",IF(AND(F69&lt;&gt;"",F70&lt;&gt;""),"E","")),"")</f>
        <v/>
      </c>
      <c r="F69" s="1695"/>
      <c r="G69" s="194"/>
      <c r="H69" s="1604"/>
    </row>
    <row r="70" spans="1:38" ht="26.25" customHeight="1">
      <c r="B70" s="622"/>
      <c r="C70" s="549"/>
      <c r="D70" s="1591" t="s">
        <v>1892</v>
      </c>
      <c r="E70" s="2264"/>
      <c r="F70" s="1697"/>
      <c r="G70" s="194"/>
      <c r="H70" s="1604"/>
    </row>
    <row r="71" spans="1:38" ht="26.25" customHeight="1">
      <c r="B71" s="622"/>
      <c r="C71" s="1581"/>
      <c r="D71" s="1590" t="s">
        <v>1891</v>
      </c>
      <c r="E71" s="1696" t="str">
        <f>IF(AND(F71="",OR(F72&lt;&gt;"",F73&lt;&gt;"")),"※","")</f>
        <v/>
      </c>
      <c r="F71" s="589"/>
      <c r="G71" s="194"/>
      <c r="H71" s="1604"/>
    </row>
    <row r="72" spans="1:38" ht="26.25" customHeight="1">
      <c r="B72" s="622"/>
      <c r="C72" s="1694"/>
      <c r="D72" s="1588" t="s">
        <v>2033</v>
      </c>
      <c r="E72" s="2263" t="str">
        <f>IF(F71&lt;&gt;"",IF(AND(F72="",F73=""),"※",IF(AND(F72&lt;&gt;"",F73&lt;&gt;""),"E","")),"")</f>
        <v/>
      </c>
      <c r="F72" s="1695"/>
      <c r="G72" s="194"/>
      <c r="H72" s="1604"/>
    </row>
    <row r="73" spans="1:38" ht="26.25" customHeight="1">
      <c r="B73" s="622"/>
      <c r="C73" s="549"/>
      <c r="D73" s="1591" t="s">
        <v>1892</v>
      </c>
      <c r="E73" s="2264"/>
      <c r="F73" s="1697"/>
      <c r="G73" s="194"/>
      <c r="H73" s="1604"/>
    </row>
    <row r="74" spans="1:38">
      <c r="A74" s="4"/>
      <c r="B74" s="622"/>
      <c r="C74" s="242"/>
      <c r="D74" s="803"/>
      <c r="E74" s="151"/>
      <c r="F74" s="829"/>
      <c r="G74" s="242"/>
      <c r="H74" s="1605"/>
    </row>
    <row r="75" spans="1:38" hidden="1">
      <c r="B75" s="23" t="s">
        <v>1228</v>
      </c>
      <c r="C75" s="265" t="s">
        <v>112</v>
      </c>
      <c r="D75" s="620"/>
      <c r="E75" s="569"/>
      <c r="G75" s="619"/>
      <c r="H75" s="1604"/>
    </row>
    <row r="76" spans="1:38" ht="27" hidden="1">
      <c r="B76" s="621"/>
      <c r="C76" s="1581"/>
      <c r="D76" s="1590" t="s">
        <v>113</v>
      </c>
      <c r="E76" s="1583"/>
      <c r="F76" s="1584"/>
      <c r="G76" s="242"/>
      <c r="H76" s="1605"/>
    </row>
    <row r="77" spans="1:38" hidden="1">
      <c r="B77" s="622"/>
      <c r="C77" s="242"/>
      <c r="D77" s="803"/>
      <c r="E77" s="151"/>
      <c r="F77" s="1595"/>
      <c r="G77" s="242"/>
      <c r="H77" s="1605"/>
    </row>
    <row r="78" spans="1:38">
      <c r="B78" s="1251" t="s">
        <v>1883</v>
      </c>
      <c r="C78" s="1248" t="s">
        <v>1839</v>
      </c>
      <c r="D78" s="1082"/>
      <c r="E78" s="1118"/>
      <c r="F78" s="1117"/>
      <c r="H78" s="1592"/>
      <c r="I78" s="1710"/>
      <c r="J78" s="1710"/>
      <c r="K78" s="1710"/>
      <c r="L78" s="1710"/>
      <c r="M78" s="1022"/>
      <c r="N78" s="1710"/>
      <c r="O78" s="1710"/>
      <c r="P78" s="21"/>
      <c r="Q78" s="1085"/>
      <c r="R78" s="1086"/>
      <c r="S78" s="1087"/>
      <c r="T78" s="3"/>
      <c r="U78" s="3"/>
      <c r="V78" s="3"/>
      <c r="W78" s="3"/>
      <c r="X78" s="1081"/>
      <c r="Z78" s="31"/>
      <c r="AA78" s="31"/>
      <c r="AB78" s="31"/>
      <c r="AC78" s="31"/>
      <c r="AD78" s="21"/>
      <c r="AE78" s="3"/>
      <c r="AF78" s="21"/>
      <c r="AG78" s="21"/>
      <c r="AH78" s="21"/>
      <c r="AI78" s="21"/>
      <c r="AJ78" s="21"/>
      <c r="AK78" s="21"/>
      <c r="AL78" s="21"/>
    </row>
    <row r="79" spans="1:38" ht="20.25" customHeight="1">
      <c r="B79" s="1083"/>
      <c r="C79" s="16"/>
      <c r="D79" s="1146" t="s">
        <v>2034</v>
      </c>
      <c r="E79" s="149" t="str">
        <f>IF(F79="","※","")</f>
        <v>※</v>
      </c>
      <c r="F79" s="699"/>
      <c r="G79" s="1119" t="str">
        <f>IF(F79="○：ICT活用工事","←「ICT」シートへの記入をお願いします。","")</f>
        <v/>
      </c>
      <c r="H79" s="1592"/>
      <c r="I79" s="1022"/>
      <c r="J79" s="1710"/>
      <c r="K79" s="1710"/>
      <c r="L79" s="1710"/>
      <c r="M79" s="1710"/>
      <c r="N79" s="1710"/>
      <c r="O79" s="1710"/>
      <c r="P79" s="21"/>
      <c r="Q79" s="1085"/>
      <c r="R79" s="1086"/>
      <c r="S79" s="1087"/>
      <c r="T79" s="3"/>
      <c r="U79" s="3"/>
      <c r="V79" s="3"/>
      <c r="W79" s="3"/>
      <c r="Z79" s="31"/>
      <c r="AA79" s="31"/>
      <c r="AB79" s="31"/>
      <c r="AC79" s="31"/>
      <c r="AD79" s="21"/>
      <c r="AE79" s="3"/>
      <c r="AF79" s="21"/>
      <c r="AG79" s="21"/>
      <c r="AH79" s="21"/>
      <c r="AI79" s="21"/>
      <c r="AJ79" s="21"/>
      <c r="AK79" s="21"/>
      <c r="AL79" s="21"/>
    </row>
    <row r="80" spans="1:38">
      <c r="E80" s="1084"/>
      <c r="F80" s="150"/>
      <c r="H80" s="1592"/>
      <c r="I80" s="1710"/>
      <c r="J80" s="1710"/>
      <c r="K80" s="1710"/>
      <c r="L80" s="1710"/>
      <c r="M80" s="1710"/>
      <c r="N80" s="1710"/>
      <c r="O80" s="1710"/>
      <c r="P80" s="21"/>
      <c r="Q80" s="1085"/>
      <c r="R80" s="1086"/>
      <c r="S80" s="1087"/>
      <c r="T80" s="3"/>
      <c r="U80" s="3"/>
      <c r="V80" s="3"/>
      <c r="W80" s="3"/>
      <c r="Z80" s="31"/>
      <c r="AA80" s="31"/>
      <c r="AB80" s="31"/>
      <c r="AC80" s="31"/>
      <c r="AD80" s="21"/>
      <c r="AE80" s="3"/>
      <c r="AF80" s="21"/>
      <c r="AG80" s="21"/>
      <c r="AH80" s="21"/>
      <c r="AI80" s="21"/>
      <c r="AJ80" s="21"/>
      <c r="AK80" s="21"/>
      <c r="AL80" s="21"/>
    </row>
    <row r="81" spans="2:38" hidden="1">
      <c r="B81" s="1251" t="s">
        <v>1884</v>
      </c>
      <c r="C81" s="1248" t="s">
        <v>1840</v>
      </c>
      <c r="D81" s="1082"/>
      <c r="E81" s="1118"/>
      <c r="F81" s="1117"/>
      <c r="H81" s="1592"/>
      <c r="I81" s="1709" t="s">
        <v>1918</v>
      </c>
      <c r="J81" s="1709" t="s">
        <v>1928</v>
      </c>
      <c r="K81" s="1710"/>
      <c r="L81" s="1710"/>
      <c r="M81" s="1710"/>
      <c r="N81" s="1710"/>
      <c r="O81" s="1710"/>
      <c r="P81" s="21"/>
      <c r="Q81" s="1085"/>
      <c r="R81" s="1086"/>
      <c r="S81" s="1087"/>
      <c r="T81" s="3"/>
      <c r="U81" s="3"/>
      <c r="V81" s="3"/>
      <c r="W81" s="3"/>
      <c r="Z81" s="31"/>
      <c r="AA81" s="31"/>
      <c r="AB81" s="31"/>
      <c r="AC81" s="31"/>
      <c r="AD81" s="21"/>
      <c r="AE81" s="3"/>
      <c r="AF81" s="21"/>
      <c r="AG81" s="21"/>
      <c r="AH81" s="21"/>
      <c r="AI81" s="21"/>
      <c r="AJ81" s="21"/>
      <c r="AK81" s="21"/>
      <c r="AL81" s="21"/>
    </row>
    <row r="82" spans="2:38" ht="20.25" hidden="1" customHeight="1">
      <c r="B82" s="1083"/>
      <c r="C82" s="16"/>
      <c r="D82" s="1146" t="s">
        <v>1841</v>
      </c>
      <c r="E82" s="1116"/>
      <c r="F82" s="699"/>
      <c r="H82" s="1592"/>
      <c r="I82" s="1709" t="s">
        <v>1919</v>
      </c>
      <c r="J82" s="1709" t="s">
        <v>1925</v>
      </c>
      <c r="K82" s="1710"/>
      <c r="L82" s="1710"/>
      <c r="M82" s="1710"/>
      <c r="N82" s="1710"/>
      <c r="O82" s="1710"/>
      <c r="P82" s="21"/>
      <c r="Q82" s="1085"/>
      <c r="R82" s="1086"/>
      <c r="S82" s="1087"/>
      <c r="T82" s="3"/>
      <c r="U82" s="3"/>
      <c r="V82" s="3"/>
      <c r="W82" s="3"/>
      <c r="Z82" s="31"/>
      <c r="AA82" s="31"/>
      <c r="AB82" s="31"/>
      <c r="AC82" s="31"/>
      <c r="AD82" s="21"/>
      <c r="AE82" s="3"/>
      <c r="AF82" s="21"/>
      <c r="AG82" s="21"/>
      <c r="AH82" s="21"/>
      <c r="AI82" s="21"/>
      <c r="AJ82" s="21"/>
      <c r="AK82" s="21"/>
      <c r="AL82" s="21"/>
    </row>
    <row r="83" spans="2:38" hidden="1">
      <c r="E83" s="1084"/>
      <c r="F83" s="150"/>
      <c r="H83" s="1592"/>
      <c r="I83" s="1709" t="s">
        <v>1920</v>
      </c>
      <c r="J83" s="1709" t="s">
        <v>1926</v>
      </c>
      <c r="K83" s="1710"/>
      <c r="L83" s="1710"/>
      <c r="M83" s="1710"/>
      <c r="N83" s="1710"/>
      <c r="O83" s="1710"/>
      <c r="P83" s="21"/>
      <c r="Q83" s="1085"/>
      <c r="R83" s="1086"/>
      <c r="S83" s="1087"/>
      <c r="T83" s="3"/>
      <c r="U83" s="3"/>
      <c r="V83" s="3"/>
      <c r="W83" s="3"/>
      <c r="Z83" s="31"/>
      <c r="AA83" s="31"/>
      <c r="AB83" s="31"/>
      <c r="AC83" s="31"/>
      <c r="AD83" s="21"/>
      <c r="AE83" s="3"/>
      <c r="AF83" s="21"/>
      <c r="AG83" s="21"/>
      <c r="AH83" s="21"/>
      <c r="AI83" s="21"/>
      <c r="AJ83" s="21"/>
      <c r="AK83" s="21"/>
      <c r="AL83" s="21"/>
    </row>
    <row r="84" spans="2:38" hidden="1">
      <c r="B84" s="1251" t="s">
        <v>1885</v>
      </c>
      <c r="C84" s="382" t="s">
        <v>1229</v>
      </c>
      <c r="D84" s="1082"/>
      <c r="E84" s="1118"/>
      <c r="F84" s="1470"/>
      <c r="H84" s="1592"/>
      <c r="I84" s="1709" t="s">
        <v>1922</v>
      </c>
      <c r="J84" s="1709" t="s">
        <v>1927</v>
      </c>
      <c r="K84" s="1710"/>
      <c r="L84" s="1710"/>
      <c r="M84" s="1710"/>
      <c r="N84" s="1710"/>
      <c r="O84" s="1710"/>
      <c r="P84" s="21"/>
      <c r="Q84" s="1085"/>
      <c r="R84" s="1086"/>
      <c r="S84" s="1087"/>
      <c r="T84" s="3"/>
      <c r="U84" s="3"/>
      <c r="V84" s="3"/>
      <c r="W84" s="3"/>
      <c r="Z84" s="31"/>
      <c r="AA84" s="31"/>
      <c r="AB84" s="31"/>
      <c r="AC84" s="31"/>
      <c r="AD84" s="21"/>
      <c r="AE84" s="3"/>
      <c r="AF84" s="21"/>
      <c r="AG84" s="21"/>
      <c r="AH84" s="21"/>
      <c r="AI84" s="21"/>
      <c r="AJ84" s="21"/>
      <c r="AK84" s="21"/>
      <c r="AL84" s="21"/>
    </row>
    <row r="85" spans="2:38" ht="27" hidden="1" customHeight="1">
      <c r="B85" s="1083"/>
      <c r="C85" s="16"/>
      <c r="D85" s="1082"/>
      <c r="E85" s="149"/>
      <c r="F85" s="699"/>
      <c r="H85" s="1592"/>
      <c r="I85" s="1709" t="s">
        <v>1924</v>
      </c>
      <c r="J85" s="1709" t="s">
        <v>1924</v>
      </c>
      <c r="K85" s="1710"/>
      <c r="L85" s="1710"/>
      <c r="M85" s="1710"/>
      <c r="N85" s="1710"/>
      <c r="O85" s="1710"/>
      <c r="P85" s="21"/>
      <c r="Q85" s="1085"/>
      <c r="R85" s="1086"/>
      <c r="S85" s="1087"/>
      <c r="T85" s="3"/>
      <c r="U85" s="3"/>
      <c r="V85" s="3"/>
      <c r="W85" s="3"/>
      <c r="Z85" s="31"/>
      <c r="AA85" s="31"/>
      <c r="AB85" s="31"/>
      <c r="AC85" s="31"/>
      <c r="AD85" s="21"/>
      <c r="AE85" s="3"/>
      <c r="AF85" s="21"/>
      <c r="AG85" s="21"/>
      <c r="AH85" s="21"/>
      <c r="AI85" s="21"/>
      <c r="AJ85" s="21"/>
      <c r="AK85" s="21"/>
      <c r="AL85" s="21"/>
    </row>
    <row r="86" spans="2:38" ht="27" hidden="1" customHeight="1">
      <c r="C86" s="16"/>
      <c r="D86" s="1082"/>
      <c r="E86" s="149"/>
      <c r="F86" s="699"/>
      <c r="H86" s="1592"/>
      <c r="I86" s="1710"/>
      <c r="J86" s="1710"/>
      <c r="K86" s="1710"/>
      <c r="L86" s="1710"/>
      <c r="M86" s="1710"/>
      <c r="N86" s="1710"/>
      <c r="O86" s="1710"/>
      <c r="P86" s="21"/>
      <c r="Q86" s="1085"/>
      <c r="R86" s="1086"/>
      <c r="S86" s="1087"/>
      <c r="T86" s="3"/>
      <c r="U86" s="3"/>
      <c r="V86" s="3"/>
      <c r="W86" s="3"/>
      <c r="Z86" s="31"/>
      <c r="AA86" s="31"/>
      <c r="AB86" s="31"/>
      <c r="AC86" s="31"/>
      <c r="AD86" s="21"/>
      <c r="AE86" s="3"/>
      <c r="AF86" s="21"/>
      <c r="AG86" s="21"/>
      <c r="AH86" s="21"/>
      <c r="AI86" s="21"/>
      <c r="AJ86" s="21"/>
      <c r="AK86" s="21"/>
      <c r="AL86" s="21"/>
    </row>
    <row r="87" spans="2:38" ht="27" hidden="1" customHeight="1">
      <c r="C87" s="16"/>
      <c r="D87" s="1082" t="s">
        <v>1230</v>
      </c>
      <c r="E87" s="149"/>
      <c r="F87" s="699"/>
      <c r="H87" s="1592"/>
      <c r="I87" s="1710"/>
      <c r="J87" s="1710"/>
      <c r="K87" s="1710"/>
      <c r="L87" s="1710"/>
      <c r="M87" s="1710"/>
      <c r="N87" s="1710"/>
      <c r="O87" s="1710"/>
      <c r="P87" s="21"/>
      <c r="Q87" s="1085"/>
      <c r="R87" s="1086"/>
      <c r="S87" s="1087"/>
      <c r="T87" s="3"/>
      <c r="U87" s="3"/>
      <c r="V87" s="3"/>
      <c r="W87" s="3"/>
      <c r="Z87" s="31"/>
      <c r="AA87" s="31"/>
      <c r="AB87" s="31"/>
      <c r="AC87" s="31"/>
      <c r="AD87" s="21"/>
      <c r="AE87" s="3"/>
      <c r="AF87" s="21"/>
      <c r="AG87" s="21"/>
      <c r="AH87" s="21"/>
      <c r="AI87" s="21"/>
      <c r="AJ87" s="21"/>
      <c r="AK87" s="21"/>
      <c r="AL87" s="21"/>
    </row>
    <row r="88" spans="2:38" ht="27" hidden="1" customHeight="1">
      <c r="C88" s="16"/>
      <c r="D88" s="1082" t="s">
        <v>1231</v>
      </c>
      <c r="E88" s="149"/>
      <c r="F88" s="699"/>
      <c r="H88" s="1592"/>
      <c r="I88" s="1710"/>
      <c r="J88" s="1710"/>
      <c r="K88" s="1710"/>
      <c r="L88" s="1710"/>
      <c r="M88" s="1710"/>
      <c r="N88" s="1710"/>
      <c r="O88" s="1710"/>
      <c r="P88" s="21"/>
      <c r="Q88" s="1085"/>
      <c r="R88" s="1086"/>
      <c r="S88" s="1087"/>
      <c r="T88" s="3"/>
      <c r="U88" s="3"/>
      <c r="V88" s="3"/>
      <c r="W88" s="3"/>
      <c r="Z88" s="31"/>
      <c r="AA88" s="31"/>
      <c r="AB88" s="31"/>
      <c r="AC88" s="31"/>
      <c r="AD88" s="21"/>
      <c r="AE88" s="3"/>
      <c r="AF88" s="21"/>
      <c r="AG88" s="21"/>
      <c r="AH88" s="21"/>
      <c r="AI88" s="21"/>
      <c r="AJ88" s="21"/>
      <c r="AK88" s="21"/>
      <c r="AL88" s="21"/>
    </row>
    <row r="89" spans="2:38" ht="33.75" hidden="1" customHeight="1">
      <c r="C89" s="16"/>
      <c r="D89" s="1146" t="s">
        <v>1232</v>
      </c>
      <c r="E89" s="149"/>
      <c r="F89" s="699"/>
      <c r="H89" s="1592"/>
      <c r="I89" s="1710"/>
      <c r="J89" s="1710"/>
      <c r="K89" s="1710"/>
      <c r="L89" s="1710"/>
      <c r="M89" s="1710"/>
      <c r="N89" s="1710"/>
      <c r="O89" s="1710"/>
      <c r="P89" s="21"/>
      <c r="Q89" s="1085"/>
      <c r="R89" s="1086"/>
      <c r="S89" s="1087"/>
      <c r="T89" s="3"/>
      <c r="U89" s="3"/>
      <c r="V89" s="3"/>
      <c r="W89" s="3"/>
      <c r="Z89" s="31"/>
      <c r="AA89" s="31"/>
      <c r="AB89" s="31"/>
      <c r="AC89" s="31"/>
      <c r="AD89" s="21"/>
      <c r="AE89" s="3"/>
      <c r="AF89" s="21"/>
      <c r="AG89" s="21"/>
      <c r="AH89" s="21"/>
      <c r="AI89" s="21"/>
      <c r="AJ89" s="21"/>
      <c r="AK89" s="21"/>
      <c r="AL89" s="21"/>
    </row>
    <row r="90" spans="2:38" ht="27" hidden="1" customHeight="1">
      <c r="C90" s="16"/>
      <c r="D90" s="1082" t="s">
        <v>1233</v>
      </c>
      <c r="E90" s="149"/>
      <c r="F90" s="699"/>
      <c r="H90" s="1592"/>
      <c r="I90" s="1022"/>
      <c r="J90" s="1710"/>
      <c r="K90" s="1710"/>
      <c r="L90" s="1710"/>
      <c r="M90" s="1710"/>
      <c r="N90" s="1710"/>
      <c r="O90" s="1710"/>
      <c r="P90" s="21"/>
      <c r="Q90" s="1085"/>
      <c r="R90" s="1086"/>
      <c r="S90" s="1087"/>
      <c r="T90" s="3"/>
      <c r="U90" s="3"/>
      <c r="V90" s="3"/>
      <c r="W90" s="3"/>
      <c r="Z90" s="31"/>
      <c r="AA90" s="31"/>
      <c r="AB90" s="31"/>
      <c r="AC90" s="31"/>
      <c r="AD90" s="21"/>
      <c r="AE90" s="3"/>
      <c r="AF90" s="21"/>
      <c r="AG90" s="21"/>
      <c r="AH90" s="21"/>
      <c r="AI90" s="21"/>
      <c r="AJ90" s="21"/>
      <c r="AK90" s="21"/>
      <c r="AL90" s="21"/>
    </row>
    <row r="91" spans="2:38" ht="33.75" hidden="1" customHeight="1">
      <c r="C91" s="16"/>
      <c r="D91" s="1146" t="s">
        <v>1546</v>
      </c>
      <c r="E91" s="149"/>
      <c r="F91" s="699"/>
      <c r="H91" s="1592"/>
      <c r="I91" s="1022"/>
      <c r="J91" s="1710"/>
      <c r="K91" s="1710"/>
      <c r="L91" s="1710"/>
      <c r="M91" s="1710"/>
      <c r="N91" s="1710"/>
      <c r="O91" s="1710"/>
      <c r="P91" s="21"/>
      <c r="Q91" s="1085"/>
      <c r="R91" s="1086"/>
      <c r="S91" s="1087"/>
      <c r="T91" s="3"/>
      <c r="U91" s="3"/>
      <c r="V91" s="3"/>
      <c r="W91" s="3"/>
      <c r="Z91" s="31"/>
      <c r="AA91" s="31"/>
      <c r="AB91" s="31"/>
      <c r="AC91" s="31"/>
      <c r="AD91" s="21"/>
      <c r="AE91" s="3"/>
      <c r="AF91" s="21"/>
      <c r="AG91" s="21"/>
      <c r="AH91" s="21"/>
      <c r="AI91" s="21"/>
      <c r="AJ91" s="21"/>
      <c r="AK91" s="21"/>
      <c r="AL91" s="21"/>
    </row>
    <row r="92" spans="2:38" hidden="1">
      <c r="G92" s="619"/>
      <c r="H92" s="1605"/>
    </row>
    <row r="93" spans="2:38" hidden="1">
      <c r="B93" s="1251" t="s">
        <v>1886</v>
      </c>
      <c r="C93" s="382" t="s">
        <v>1749</v>
      </c>
      <c r="D93" s="1082"/>
      <c r="E93" s="1118"/>
      <c r="F93" s="1470"/>
      <c r="G93" s="619"/>
      <c r="H93" s="1605"/>
    </row>
    <row r="94" spans="2:38" ht="27" hidden="1" customHeight="1">
      <c r="B94" s="1083"/>
      <c r="C94" s="16"/>
      <c r="D94" s="1146" t="s">
        <v>1748</v>
      </c>
      <c r="E94" s="149"/>
      <c r="F94" s="699"/>
      <c r="G94" s="619"/>
      <c r="H94" s="1605"/>
    </row>
    <row r="95" spans="2:38" ht="27" hidden="1" customHeight="1">
      <c r="C95" s="16"/>
      <c r="D95" s="1146" t="s">
        <v>1750</v>
      </c>
      <c r="E95" s="149"/>
      <c r="F95" s="1468"/>
      <c r="G95" s="619"/>
      <c r="H95" s="1605"/>
    </row>
    <row r="96" spans="2:38" ht="27" hidden="1" customHeight="1">
      <c r="C96" s="1467"/>
      <c r="D96" s="1146" t="s">
        <v>1751</v>
      </c>
      <c r="E96" s="149"/>
      <c r="F96" s="1468"/>
      <c r="G96" s="619"/>
      <c r="H96" s="1605"/>
    </row>
    <row r="97" spans="1:38" hidden="1">
      <c r="A97" s="1066"/>
      <c r="B97" s="2041" t="s">
        <v>913</v>
      </c>
      <c r="C97" s="2042" t="s">
        <v>2312</v>
      </c>
      <c r="D97" s="2043"/>
      <c r="E97" s="2037"/>
      <c r="F97" s="2038"/>
      <c r="H97" s="1592"/>
      <c r="K97" s="1710"/>
      <c r="L97" s="1710"/>
      <c r="M97" s="1710"/>
      <c r="N97" s="1710"/>
      <c r="O97" s="1710"/>
      <c r="P97" s="21"/>
      <c r="Q97" s="2039"/>
      <c r="R97" s="22"/>
      <c r="S97" s="21"/>
      <c r="T97" s="1066"/>
      <c r="U97" s="1066"/>
      <c r="V97" s="1066"/>
      <c r="W97" s="1066"/>
      <c r="Z97" s="1066"/>
      <c r="AA97" s="1066"/>
      <c r="AB97" s="1066"/>
      <c r="AC97" s="1066"/>
      <c r="AD97" s="21"/>
      <c r="AE97" s="1066"/>
      <c r="AF97" s="21"/>
      <c r="AG97" s="21"/>
      <c r="AH97" s="21"/>
      <c r="AI97" s="21"/>
      <c r="AJ97" s="21"/>
      <c r="AK97" s="21"/>
      <c r="AL97" s="21"/>
    </row>
    <row r="98" spans="1:38" ht="35.25" hidden="1" customHeight="1">
      <c r="A98" s="1066"/>
      <c r="B98" s="1417"/>
      <c r="C98" s="2044"/>
      <c r="D98" s="2043" t="s">
        <v>2313</v>
      </c>
      <c r="E98" s="160"/>
      <c r="F98" s="2040"/>
      <c r="H98" s="1592"/>
      <c r="I98" s="1710"/>
      <c r="J98" s="1710"/>
      <c r="K98" s="1710"/>
      <c r="L98" s="1710"/>
      <c r="M98" s="1710"/>
      <c r="N98" s="1710"/>
      <c r="O98" s="1710"/>
      <c r="P98" s="21"/>
      <c r="Q98" s="2039"/>
      <c r="R98" s="22"/>
      <c r="S98" s="21"/>
      <c r="T98" s="1066"/>
      <c r="U98" s="1066"/>
      <c r="V98" s="1066"/>
      <c r="W98" s="1066"/>
      <c r="Z98" s="1066"/>
      <c r="AA98" s="1066"/>
      <c r="AB98" s="1066"/>
      <c r="AC98" s="1066"/>
      <c r="AD98" s="21"/>
      <c r="AE98" s="1066"/>
      <c r="AF98" s="21"/>
      <c r="AG98" s="21"/>
      <c r="AH98" s="21"/>
      <c r="AI98" s="21"/>
      <c r="AJ98" s="21"/>
      <c r="AK98" s="21"/>
      <c r="AL98" s="21"/>
    </row>
    <row r="99" spans="1:38" hidden="1">
      <c r="G99" s="619"/>
      <c r="H99" s="1605"/>
    </row>
    <row r="100" spans="1:38">
      <c r="G100" s="619"/>
      <c r="H100" s="1605"/>
    </row>
    <row r="101" spans="1:38">
      <c r="C101" s="437" t="s">
        <v>685</v>
      </c>
      <c r="D101" s="75"/>
      <c r="E101" s="455"/>
      <c r="F101" s="304"/>
      <c r="G101" s="194"/>
      <c r="H101" s="1604"/>
    </row>
    <row r="102" spans="1:38">
      <c r="C102" s="441" t="s">
        <v>686</v>
      </c>
      <c r="D102" s="4"/>
      <c r="E102" s="182"/>
      <c r="F102" s="131"/>
      <c r="G102" s="4"/>
      <c r="H102" s="1605"/>
    </row>
    <row r="103" spans="1:38">
      <c r="C103" s="441" t="s">
        <v>687</v>
      </c>
      <c r="D103" s="101"/>
      <c r="E103" s="197"/>
      <c r="F103" s="431"/>
      <c r="G103" s="4"/>
      <c r="H103" s="1605"/>
    </row>
    <row r="104" spans="1:38">
      <c r="C104" s="441" t="s">
        <v>688</v>
      </c>
      <c r="D104" s="198"/>
      <c r="E104" s="199"/>
      <c r="F104" s="432"/>
      <c r="G104" s="59"/>
      <c r="H104" s="1605"/>
    </row>
    <row r="105" spans="1:38">
      <c r="C105" s="451" t="s">
        <v>689</v>
      </c>
      <c r="D105" s="433"/>
      <c r="E105" s="435"/>
      <c r="F105" s="436"/>
      <c r="G105" s="59"/>
      <c r="H105" s="1605"/>
    </row>
    <row r="106" spans="1:38">
      <c r="G106" s="59"/>
    </row>
    <row r="108" spans="1:38">
      <c r="G108" s="5"/>
    </row>
    <row r="110" spans="1:38">
      <c r="D110" s="74"/>
    </row>
    <row r="111" spans="1:38" s="5" customFormat="1" hidden="1">
      <c r="A111" s="1022"/>
      <c r="B111" s="1022"/>
      <c r="C111" s="1073" t="s">
        <v>1219</v>
      </c>
      <c r="D111" s="1022"/>
      <c r="E111" s="150"/>
      <c r="F111"/>
      <c r="G111"/>
      <c r="H111" s="1596"/>
      <c r="I111" s="1073"/>
      <c r="J111" s="1073"/>
      <c r="K111" s="1073"/>
      <c r="L111" s="1073"/>
      <c r="M111" s="1073"/>
      <c r="N111" s="1073"/>
      <c r="O111" s="1073"/>
    </row>
    <row r="112" spans="1:38" hidden="1">
      <c r="A112" s="1022"/>
      <c r="B112" s="1022"/>
      <c r="C112" s="1074" t="s">
        <v>1177</v>
      </c>
      <c r="D112" s="1074"/>
      <c r="E112" s="753"/>
      <c r="F112" s="1025"/>
    </row>
    <row r="113" spans="1:15" hidden="1">
      <c r="A113" s="1022"/>
      <c r="B113" s="1022"/>
      <c r="C113" s="1075" t="s">
        <v>1220</v>
      </c>
      <c r="D113" s="1076"/>
      <c r="E113" s="1077"/>
      <c r="F113" s="1078"/>
    </row>
    <row r="114" spans="1:15" hidden="1">
      <c r="A114" s="1022"/>
      <c r="B114" s="1022"/>
      <c r="C114" s="1076" t="s">
        <v>1178</v>
      </c>
      <c r="D114" s="1076"/>
      <c r="E114" s="1077"/>
      <c r="F114" s="1078"/>
    </row>
    <row r="115" spans="1:15" hidden="1">
      <c r="A115" s="1022"/>
      <c r="B115" s="1022"/>
      <c r="C115" s="2125"/>
      <c r="D115" s="2125"/>
      <c r="E115" s="151"/>
      <c r="F115" s="2126"/>
    </row>
    <row r="116" spans="1:15">
      <c r="O116" s="2124" t="e">
        <f>VLOOKUP(F30,$N$119:$O$165,2,0)</f>
        <v>#N/A</v>
      </c>
    </row>
    <row r="117" spans="1:15">
      <c r="H117" s="1596" t="s">
        <v>2374</v>
      </c>
      <c r="I117" s="1709" t="s">
        <v>2375</v>
      </c>
      <c r="J117" s="1709" t="s">
        <v>2376</v>
      </c>
      <c r="N117" s="1709" t="s">
        <v>5635</v>
      </c>
      <c r="O117" s="1709" t="s">
        <v>5636</v>
      </c>
    </row>
    <row r="118" spans="1:15">
      <c r="H118" s="1596" t="s">
        <v>5582</v>
      </c>
      <c r="I118" s="1709" t="s">
        <v>590</v>
      </c>
      <c r="K118" s="1709">
        <f>ROW()</f>
        <v>118</v>
      </c>
      <c r="L118" s="1709">
        <f>K118+COUNTIF($I$118:$I$1905,I118)-1</f>
        <v>297</v>
      </c>
    </row>
    <row r="119" spans="1:15">
      <c r="H119" s="1596" t="s">
        <v>1325</v>
      </c>
      <c r="I119" s="1709" t="s">
        <v>590</v>
      </c>
      <c r="J119" s="1709" t="s">
        <v>1446</v>
      </c>
      <c r="M119" s="1709" t="s">
        <v>5637</v>
      </c>
      <c r="N119" s="1709" t="s">
        <v>223</v>
      </c>
      <c r="O119" s="1709" t="str">
        <f>"J"&amp;VLOOKUP(M119,$I$118:$L$1905,3,0)&amp;":"&amp;"J"&amp;VLOOKUP(M119,$I$118:$L$1905,4,0)</f>
        <v>J118:J297</v>
      </c>
    </row>
    <row r="120" spans="1:15">
      <c r="H120" s="1596" t="s">
        <v>1345</v>
      </c>
      <c r="I120" s="1709" t="s">
        <v>590</v>
      </c>
      <c r="J120" s="1709" t="s">
        <v>1466</v>
      </c>
      <c r="M120" s="1709" t="s">
        <v>591</v>
      </c>
      <c r="N120" s="1709" t="s">
        <v>224</v>
      </c>
      <c r="O120" s="1709" t="str">
        <f t="shared" ref="O120:O165" si="4">"J"&amp;VLOOKUP(M120,$I$118:$L$1905,3,0)&amp;":"&amp;"J"&amp;VLOOKUP(M120,$I$118:$L$1905,4,0)</f>
        <v>J298:J338</v>
      </c>
    </row>
    <row r="121" spans="1:15">
      <c r="H121" s="1596" t="s">
        <v>2377</v>
      </c>
      <c r="I121" s="1709" t="s">
        <v>590</v>
      </c>
      <c r="J121" s="1709" t="s">
        <v>2378</v>
      </c>
      <c r="M121" s="1709" t="s">
        <v>592</v>
      </c>
      <c r="N121" s="1709" t="s">
        <v>225</v>
      </c>
      <c r="O121" s="1709" t="str">
        <f t="shared" si="4"/>
        <v>J339:J372</v>
      </c>
    </row>
    <row r="122" spans="1:15">
      <c r="H122" s="1596" t="s">
        <v>1346</v>
      </c>
      <c r="I122" s="1709" t="s">
        <v>590</v>
      </c>
      <c r="J122" s="1709" t="s">
        <v>1467</v>
      </c>
      <c r="M122" s="1709" t="s">
        <v>2867</v>
      </c>
      <c r="N122" s="1709" t="s">
        <v>226</v>
      </c>
      <c r="O122" s="1709" t="str">
        <f t="shared" si="4"/>
        <v>J373:J408</v>
      </c>
    </row>
    <row r="123" spans="1:15">
      <c r="H123" s="1596" t="s">
        <v>2379</v>
      </c>
      <c r="I123" s="1709" t="s">
        <v>590</v>
      </c>
      <c r="J123" s="1709" t="s">
        <v>2380</v>
      </c>
      <c r="M123" s="1709" t="s">
        <v>593</v>
      </c>
      <c r="N123" s="1709" t="s">
        <v>227</v>
      </c>
      <c r="O123" s="1709" t="str">
        <f t="shared" si="4"/>
        <v>J409:J434</v>
      </c>
    </row>
    <row r="124" spans="1:15">
      <c r="H124" s="1596" t="s">
        <v>2381</v>
      </c>
      <c r="I124" s="1709" t="s">
        <v>590</v>
      </c>
      <c r="J124" s="1709" t="s">
        <v>2382</v>
      </c>
      <c r="M124" s="1709" t="s">
        <v>622</v>
      </c>
      <c r="N124" s="1709" t="s">
        <v>228</v>
      </c>
      <c r="O124" s="1709" t="str">
        <f t="shared" si="4"/>
        <v>J435:J470</v>
      </c>
    </row>
    <row r="125" spans="1:15">
      <c r="H125" s="1596" t="s">
        <v>2383</v>
      </c>
      <c r="I125" s="1709" t="s">
        <v>590</v>
      </c>
      <c r="J125" s="1709" t="s">
        <v>2384</v>
      </c>
      <c r="M125" s="1709" t="s">
        <v>594</v>
      </c>
      <c r="N125" s="1709" t="s">
        <v>229</v>
      </c>
      <c r="O125" s="1709" t="str">
        <f t="shared" si="4"/>
        <v>J471:J530</v>
      </c>
    </row>
    <row r="126" spans="1:15">
      <c r="H126" s="1596" t="s">
        <v>2385</v>
      </c>
      <c r="I126" s="1709" t="s">
        <v>590</v>
      </c>
      <c r="J126" s="1709" t="s">
        <v>2386</v>
      </c>
      <c r="M126" s="1709" t="s">
        <v>623</v>
      </c>
      <c r="N126" s="1709" t="s">
        <v>230</v>
      </c>
      <c r="O126" s="1709" t="str">
        <f t="shared" si="4"/>
        <v>J531:J575</v>
      </c>
    </row>
    <row r="127" spans="1:15">
      <c r="H127" s="1596" t="s">
        <v>2387</v>
      </c>
      <c r="I127" s="1709" t="s">
        <v>590</v>
      </c>
      <c r="J127" s="1709" t="s">
        <v>2388</v>
      </c>
      <c r="M127" s="1709" t="s">
        <v>595</v>
      </c>
      <c r="N127" s="1709" t="s">
        <v>231</v>
      </c>
      <c r="O127" s="1709" t="str">
        <f t="shared" si="4"/>
        <v>J576:J601</v>
      </c>
    </row>
    <row r="128" spans="1:15">
      <c r="H128" s="1596" t="s">
        <v>2389</v>
      </c>
      <c r="I128" s="1709" t="s">
        <v>590</v>
      </c>
      <c r="J128" s="1709" t="s">
        <v>2390</v>
      </c>
      <c r="M128" s="1709" t="s">
        <v>596</v>
      </c>
      <c r="N128" s="1709" t="s">
        <v>232</v>
      </c>
      <c r="O128" s="1709" t="str">
        <f t="shared" si="4"/>
        <v>J602:J637</v>
      </c>
    </row>
    <row r="129" spans="8:15">
      <c r="H129" s="1596" t="s">
        <v>2391</v>
      </c>
      <c r="I129" s="1709" t="s">
        <v>590</v>
      </c>
      <c r="J129" s="1709" t="s">
        <v>2392</v>
      </c>
      <c r="M129" s="1709" t="s">
        <v>597</v>
      </c>
      <c r="N129" s="1709" t="s">
        <v>233</v>
      </c>
      <c r="O129" s="1709" t="str">
        <f t="shared" si="4"/>
        <v>J638:J701</v>
      </c>
    </row>
    <row r="130" spans="8:15">
      <c r="H130" s="1596" t="s">
        <v>2393</v>
      </c>
      <c r="I130" s="1709" t="s">
        <v>590</v>
      </c>
      <c r="J130" s="1709" t="s">
        <v>2394</v>
      </c>
      <c r="M130" s="1709" t="s">
        <v>598</v>
      </c>
      <c r="N130" s="1709" t="s">
        <v>234</v>
      </c>
      <c r="O130" s="1709" t="str">
        <f t="shared" si="4"/>
        <v>J702:J756</v>
      </c>
    </row>
    <row r="131" spans="8:15">
      <c r="H131" s="1596" t="s">
        <v>2395</v>
      </c>
      <c r="I131" s="1709" t="s">
        <v>590</v>
      </c>
      <c r="J131" s="1709" t="s">
        <v>2396</v>
      </c>
      <c r="M131" s="1709" t="s">
        <v>3565</v>
      </c>
      <c r="N131" s="1709" t="s">
        <v>235</v>
      </c>
      <c r="O131" s="1709" t="str">
        <f t="shared" si="4"/>
        <v>J757:J819</v>
      </c>
    </row>
    <row r="132" spans="8:15">
      <c r="H132" s="1596" t="s">
        <v>2397</v>
      </c>
      <c r="I132" s="1709" t="s">
        <v>590</v>
      </c>
      <c r="J132" s="1709" t="s">
        <v>2398</v>
      </c>
      <c r="M132" s="1709" t="s">
        <v>599</v>
      </c>
      <c r="N132" s="1709" t="s">
        <v>236</v>
      </c>
      <c r="O132" s="1709" t="str">
        <f t="shared" si="4"/>
        <v>J820:J853</v>
      </c>
    </row>
    <row r="133" spans="8:15">
      <c r="H133" s="1596" t="s">
        <v>2399</v>
      </c>
      <c r="I133" s="1709" t="s">
        <v>590</v>
      </c>
      <c r="J133" s="1709" t="s">
        <v>2400</v>
      </c>
      <c r="M133" s="1709" t="s">
        <v>624</v>
      </c>
      <c r="N133" s="1709" t="s">
        <v>237</v>
      </c>
      <c r="O133" s="1709" t="str">
        <f t="shared" si="4"/>
        <v>J854:J884</v>
      </c>
    </row>
    <row r="134" spans="8:15">
      <c r="H134" s="1596" t="s">
        <v>2401</v>
      </c>
      <c r="I134" s="1709" t="s">
        <v>590</v>
      </c>
      <c r="J134" s="1709" t="s">
        <v>2402</v>
      </c>
      <c r="M134" s="1709" t="s">
        <v>600</v>
      </c>
      <c r="N134" s="1709" t="s">
        <v>238</v>
      </c>
      <c r="O134" s="1709" t="str">
        <f t="shared" si="4"/>
        <v>J885:J900</v>
      </c>
    </row>
    <row r="135" spans="8:15">
      <c r="H135" s="1596" t="s">
        <v>2403</v>
      </c>
      <c r="I135" s="1709" t="s">
        <v>590</v>
      </c>
      <c r="J135" s="1709" t="s">
        <v>2404</v>
      </c>
      <c r="M135" s="1709" t="s">
        <v>601</v>
      </c>
      <c r="N135" s="1709" t="s">
        <v>239</v>
      </c>
      <c r="O135" s="1709" t="str">
        <f t="shared" si="4"/>
        <v>J901:J920</v>
      </c>
    </row>
    <row r="136" spans="8:15">
      <c r="H136" s="1596" t="s">
        <v>2405</v>
      </c>
      <c r="I136" s="1709" t="s">
        <v>590</v>
      </c>
      <c r="J136" s="1709" t="s">
        <v>2406</v>
      </c>
      <c r="M136" s="1709" t="s">
        <v>625</v>
      </c>
      <c r="N136" s="1709" t="s">
        <v>240</v>
      </c>
      <c r="O136" s="1709" t="str">
        <f t="shared" si="4"/>
        <v>J921:J938</v>
      </c>
    </row>
    <row r="137" spans="8:15">
      <c r="H137" s="1596" t="s">
        <v>2407</v>
      </c>
      <c r="I137" s="1709" t="s">
        <v>590</v>
      </c>
      <c r="J137" s="1709" t="s">
        <v>2408</v>
      </c>
      <c r="M137" s="1709" t="s">
        <v>626</v>
      </c>
      <c r="N137" s="1709" t="s">
        <v>241</v>
      </c>
      <c r="O137" s="1709" t="str">
        <f t="shared" si="4"/>
        <v>J939:J966</v>
      </c>
    </row>
    <row r="138" spans="8:15">
      <c r="H138" s="1596" t="s">
        <v>2409</v>
      </c>
      <c r="I138" s="1709" t="s">
        <v>590</v>
      </c>
      <c r="J138" s="1709" t="s">
        <v>2410</v>
      </c>
      <c r="M138" s="1709" t="s">
        <v>602</v>
      </c>
      <c r="N138" s="1709" t="s">
        <v>242</v>
      </c>
      <c r="O138" s="1709" t="str">
        <f t="shared" si="4"/>
        <v>J967:J1044</v>
      </c>
    </row>
    <row r="139" spans="8:15">
      <c r="H139" s="1596" t="s">
        <v>2411</v>
      </c>
      <c r="I139" s="1709" t="s">
        <v>590</v>
      </c>
      <c r="J139" s="1709" t="s">
        <v>2412</v>
      </c>
      <c r="M139" s="1709" t="s">
        <v>603</v>
      </c>
      <c r="N139" s="1709" t="s">
        <v>243</v>
      </c>
      <c r="O139" s="1709" t="str">
        <f t="shared" si="4"/>
        <v>J1045:J1087</v>
      </c>
    </row>
    <row r="140" spans="8:15">
      <c r="H140" s="1596" t="s">
        <v>2413</v>
      </c>
      <c r="I140" s="1709" t="s">
        <v>590</v>
      </c>
      <c r="J140" s="1709" t="s">
        <v>2414</v>
      </c>
      <c r="M140" s="1709" t="s">
        <v>714</v>
      </c>
      <c r="N140" s="1709" t="s">
        <v>244</v>
      </c>
      <c r="O140" s="1709" t="str">
        <f t="shared" si="4"/>
        <v>J1088:J1123</v>
      </c>
    </row>
    <row r="141" spans="8:15">
      <c r="H141" s="1596" t="s">
        <v>2415</v>
      </c>
      <c r="I141" s="1709" t="s">
        <v>590</v>
      </c>
      <c r="J141" s="1709" t="s">
        <v>2416</v>
      </c>
      <c r="M141" s="1709" t="s">
        <v>604</v>
      </c>
      <c r="N141" s="1709" t="s">
        <v>245</v>
      </c>
      <c r="O141" s="1709" t="str">
        <f t="shared" si="4"/>
        <v>J1124:J1178</v>
      </c>
    </row>
    <row r="142" spans="8:15">
      <c r="H142" s="1596" t="s">
        <v>2417</v>
      </c>
      <c r="I142" s="1709" t="s">
        <v>590</v>
      </c>
      <c r="J142" s="1709" t="s">
        <v>2418</v>
      </c>
      <c r="M142" s="1709" t="s">
        <v>715</v>
      </c>
      <c r="N142" s="1709" t="s">
        <v>246</v>
      </c>
      <c r="O142" s="1709" t="str">
        <f t="shared" si="4"/>
        <v>J1179:J1208</v>
      </c>
    </row>
    <row r="143" spans="8:15">
      <c r="H143" s="1596" t="s">
        <v>2419</v>
      </c>
      <c r="I143" s="1709" t="s">
        <v>590</v>
      </c>
      <c r="J143" s="1709" t="s">
        <v>2420</v>
      </c>
      <c r="M143" s="1709" t="s">
        <v>605</v>
      </c>
      <c r="N143" s="1709" t="s">
        <v>247</v>
      </c>
      <c r="O143" s="1709" t="str">
        <f t="shared" si="4"/>
        <v>J1209:J1228</v>
      </c>
    </row>
    <row r="144" spans="8:15">
      <c r="H144" s="1596" t="s">
        <v>2421</v>
      </c>
      <c r="I144" s="1709" t="s">
        <v>590</v>
      </c>
      <c r="J144" s="1709" t="s">
        <v>2422</v>
      </c>
      <c r="M144" s="1709" t="s">
        <v>4362</v>
      </c>
      <c r="N144" s="1709" t="s">
        <v>248</v>
      </c>
      <c r="O144" s="1709" t="str">
        <f t="shared" si="4"/>
        <v>J1229:J1255</v>
      </c>
    </row>
    <row r="145" spans="8:15">
      <c r="H145" s="1596" t="s">
        <v>2423</v>
      </c>
      <c r="I145" s="1709" t="s">
        <v>590</v>
      </c>
      <c r="J145" s="1709" t="s">
        <v>2424</v>
      </c>
      <c r="M145" s="1709" t="s">
        <v>606</v>
      </c>
      <c r="N145" s="1709" t="s">
        <v>249</v>
      </c>
      <c r="O145" s="1709" t="str">
        <f t="shared" si="4"/>
        <v>J1256:J1299</v>
      </c>
    </row>
    <row r="146" spans="8:15">
      <c r="H146" s="1596" t="s">
        <v>2425</v>
      </c>
      <c r="I146" s="1709" t="s">
        <v>590</v>
      </c>
      <c r="J146" s="1709" t="s">
        <v>2426</v>
      </c>
      <c r="M146" s="1709" t="s">
        <v>607</v>
      </c>
      <c r="N146" s="1709" t="s">
        <v>250</v>
      </c>
      <c r="O146" s="1709" t="str">
        <f t="shared" si="4"/>
        <v>J1300:J1341</v>
      </c>
    </row>
    <row r="147" spans="8:15">
      <c r="H147" s="1596" t="s">
        <v>2427</v>
      </c>
      <c r="I147" s="1709" t="s">
        <v>590</v>
      </c>
      <c r="J147" s="1709" t="s">
        <v>2428</v>
      </c>
      <c r="M147" s="1709" t="s">
        <v>608</v>
      </c>
      <c r="N147" s="1709" t="s">
        <v>251</v>
      </c>
      <c r="O147" s="1709" t="str">
        <f t="shared" si="4"/>
        <v>J1342:J1381</v>
      </c>
    </row>
    <row r="148" spans="8:15">
      <c r="H148" s="1596" t="s">
        <v>2429</v>
      </c>
      <c r="I148" s="1709" t="s">
        <v>590</v>
      </c>
      <c r="J148" s="1709" t="s">
        <v>2430</v>
      </c>
      <c r="M148" s="1709" t="s">
        <v>609</v>
      </c>
      <c r="N148" s="1709" t="s">
        <v>252</v>
      </c>
      <c r="O148" s="1709" t="str">
        <f t="shared" si="4"/>
        <v>J1382:J1412</v>
      </c>
    </row>
    <row r="149" spans="8:15">
      <c r="H149" s="1596" t="s">
        <v>2431</v>
      </c>
      <c r="I149" s="1709" t="s">
        <v>590</v>
      </c>
      <c r="J149" s="1709" t="s">
        <v>2432</v>
      </c>
      <c r="M149" s="1709" t="s">
        <v>4676</v>
      </c>
      <c r="N149" s="1709" t="s">
        <v>253</v>
      </c>
      <c r="O149" s="1709" t="str">
        <f t="shared" si="4"/>
        <v>J1413:J1432</v>
      </c>
    </row>
    <row r="150" spans="8:15">
      <c r="H150" s="1596" t="s">
        <v>2433</v>
      </c>
      <c r="I150" s="1709" t="s">
        <v>590</v>
      </c>
      <c r="J150" s="1709" t="s">
        <v>2434</v>
      </c>
      <c r="M150" s="1709" t="s">
        <v>4712</v>
      </c>
      <c r="N150" s="1709" t="s">
        <v>254</v>
      </c>
      <c r="O150" s="1709" t="str">
        <f t="shared" si="4"/>
        <v>J1433:J1452</v>
      </c>
    </row>
    <row r="151" spans="8:15">
      <c r="H151" s="1596" t="s">
        <v>2435</v>
      </c>
      <c r="I151" s="1709" t="s">
        <v>590</v>
      </c>
      <c r="J151" s="1709" t="s">
        <v>2436</v>
      </c>
      <c r="M151" s="1709" t="s">
        <v>610</v>
      </c>
      <c r="N151" s="1709" t="s">
        <v>255</v>
      </c>
      <c r="O151" s="1709" t="str">
        <f t="shared" si="4"/>
        <v>J1453:J1480</v>
      </c>
    </row>
    <row r="152" spans="8:15">
      <c r="H152" s="1596" t="s">
        <v>2437</v>
      </c>
      <c r="I152" s="1709" t="s">
        <v>590</v>
      </c>
      <c r="J152" s="1709" t="s">
        <v>2438</v>
      </c>
      <c r="M152" s="1709" t="s">
        <v>611</v>
      </c>
      <c r="N152" s="1709" t="s">
        <v>256</v>
      </c>
      <c r="O152" s="1709" t="str">
        <f t="shared" si="4"/>
        <v>J1481:J1504</v>
      </c>
    </row>
    <row r="153" spans="8:15">
      <c r="H153" s="1596" t="s">
        <v>2439</v>
      </c>
      <c r="I153" s="1709" t="s">
        <v>590</v>
      </c>
      <c r="J153" s="1709" t="s">
        <v>2440</v>
      </c>
      <c r="M153" s="1709" t="s">
        <v>612</v>
      </c>
      <c r="N153" s="1709" t="s">
        <v>257</v>
      </c>
      <c r="O153" s="1709" t="str">
        <f t="shared" si="4"/>
        <v>J1505:J1524</v>
      </c>
    </row>
    <row r="154" spans="8:15">
      <c r="H154" s="1596" t="s">
        <v>2441</v>
      </c>
      <c r="I154" s="1709" t="s">
        <v>590</v>
      </c>
      <c r="J154" s="1709" t="s">
        <v>2442</v>
      </c>
      <c r="M154" s="1709" t="s">
        <v>4875</v>
      </c>
      <c r="N154" s="1709" t="s">
        <v>258</v>
      </c>
      <c r="O154" s="1709" t="str">
        <f t="shared" si="4"/>
        <v>J1525:J1549</v>
      </c>
    </row>
    <row r="155" spans="8:15">
      <c r="H155" s="1596" t="s">
        <v>2443</v>
      </c>
      <c r="I155" s="1709" t="s">
        <v>590</v>
      </c>
      <c r="J155" s="1709" t="s">
        <v>2444</v>
      </c>
      <c r="M155" s="1709" t="s">
        <v>613</v>
      </c>
      <c r="N155" s="1709" t="s">
        <v>259</v>
      </c>
      <c r="O155" s="1709" t="str">
        <f t="shared" si="4"/>
        <v>J1550:J1567</v>
      </c>
    </row>
    <row r="156" spans="8:15">
      <c r="H156" s="1596" t="s">
        <v>2445</v>
      </c>
      <c r="I156" s="1709" t="s">
        <v>590</v>
      </c>
      <c r="J156" s="1709" t="s">
        <v>2446</v>
      </c>
      <c r="M156" s="1709" t="s">
        <v>614</v>
      </c>
      <c r="N156" s="1709" t="s">
        <v>260</v>
      </c>
      <c r="O156" s="1709" t="str">
        <f t="shared" si="4"/>
        <v>J1568:J1588</v>
      </c>
    </row>
    <row r="157" spans="8:15">
      <c r="H157" s="1596" t="s">
        <v>2447</v>
      </c>
      <c r="I157" s="1709" t="s">
        <v>590</v>
      </c>
      <c r="J157" s="1709" t="s">
        <v>2448</v>
      </c>
      <c r="M157" s="1709" t="s">
        <v>615</v>
      </c>
      <c r="N157" s="1709" t="s">
        <v>261</v>
      </c>
      <c r="O157" s="1709" t="str">
        <f t="shared" si="4"/>
        <v>J1589:J1623</v>
      </c>
    </row>
    <row r="158" spans="8:15">
      <c r="H158" s="1596" t="s">
        <v>2449</v>
      </c>
      <c r="I158" s="1709" t="s">
        <v>590</v>
      </c>
      <c r="J158" s="1709" t="s">
        <v>2450</v>
      </c>
      <c r="M158" s="1709" t="s">
        <v>616</v>
      </c>
      <c r="N158" s="1709" t="s">
        <v>262</v>
      </c>
      <c r="O158" s="1709" t="str">
        <f t="shared" si="4"/>
        <v>J1624:J1684</v>
      </c>
    </row>
    <row r="159" spans="8:15">
      <c r="H159" s="1596" t="s">
        <v>2451</v>
      </c>
      <c r="I159" s="1709" t="s">
        <v>590</v>
      </c>
      <c r="J159" s="1709" t="s">
        <v>2452</v>
      </c>
      <c r="M159" s="1709" t="s">
        <v>5170</v>
      </c>
      <c r="N159" s="1709" t="s">
        <v>263</v>
      </c>
      <c r="O159" s="1709" t="str">
        <f t="shared" si="4"/>
        <v>J1685:J1705</v>
      </c>
    </row>
    <row r="160" spans="8:15">
      <c r="H160" s="1596" t="s">
        <v>2453</v>
      </c>
      <c r="I160" s="1709" t="s">
        <v>590</v>
      </c>
      <c r="J160" s="1709" t="s">
        <v>2454</v>
      </c>
      <c r="M160" s="1709" t="s">
        <v>617</v>
      </c>
      <c r="N160" s="1709" t="s">
        <v>264</v>
      </c>
      <c r="O160" s="1709" t="str">
        <f t="shared" si="4"/>
        <v>J1706:J1727</v>
      </c>
    </row>
    <row r="161" spans="8:15">
      <c r="H161" s="1596" t="s">
        <v>2455</v>
      </c>
      <c r="I161" s="1709" t="s">
        <v>590</v>
      </c>
      <c r="J161" s="1709" t="s">
        <v>2456</v>
      </c>
      <c r="M161" s="1709" t="s">
        <v>618</v>
      </c>
      <c r="N161" s="1709" t="s">
        <v>265</v>
      </c>
      <c r="O161" s="1709" t="str">
        <f t="shared" si="4"/>
        <v>J1728:J1773</v>
      </c>
    </row>
    <row r="162" spans="8:15">
      <c r="H162" s="1596" t="s">
        <v>2457</v>
      </c>
      <c r="I162" s="1709" t="s">
        <v>590</v>
      </c>
      <c r="J162" s="1709" t="s">
        <v>2458</v>
      </c>
      <c r="M162" s="1709" t="s">
        <v>619</v>
      </c>
      <c r="N162" s="1709" t="s">
        <v>266</v>
      </c>
      <c r="O162" s="1709" t="str">
        <f t="shared" si="4"/>
        <v>J1774:J1792</v>
      </c>
    </row>
    <row r="163" spans="8:15">
      <c r="H163" s="1596" t="s">
        <v>2459</v>
      </c>
      <c r="I163" s="1709" t="s">
        <v>590</v>
      </c>
      <c r="J163" s="1709" t="s">
        <v>2460</v>
      </c>
      <c r="M163" s="1709" t="s">
        <v>620</v>
      </c>
      <c r="N163" s="1709" t="s">
        <v>267</v>
      </c>
      <c r="O163" s="1709" t="str">
        <f t="shared" si="4"/>
        <v>J1793:J1819</v>
      </c>
    </row>
    <row r="164" spans="8:15">
      <c r="H164" s="1596" t="s">
        <v>2461</v>
      </c>
      <c r="I164" s="1709" t="s">
        <v>590</v>
      </c>
      <c r="J164" s="1709" t="s">
        <v>2462</v>
      </c>
      <c r="M164" s="1709" t="s">
        <v>621</v>
      </c>
      <c r="N164" s="1709" t="s">
        <v>268</v>
      </c>
      <c r="O164" s="1709" t="str">
        <f t="shared" si="4"/>
        <v>J1820:J1863</v>
      </c>
    </row>
    <row r="165" spans="8:15">
      <c r="H165" s="1596" t="s">
        <v>2463</v>
      </c>
      <c r="I165" s="1709" t="s">
        <v>590</v>
      </c>
      <c r="J165" s="1709" t="s">
        <v>2464</v>
      </c>
      <c r="M165" s="1709" t="s">
        <v>5499</v>
      </c>
      <c r="N165" s="1709" t="s">
        <v>269</v>
      </c>
      <c r="O165" s="1709" t="str">
        <f t="shared" si="4"/>
        <v>J1864:J1905</v>
      </c>
    </row>
    <row r="166" spans="8:15">
      <c r="H166" s="1596" t="s">
        <v>2465</v>
      </c>
      <c r="I166" s="1709" t="s">
        <v>590</v>
      </c>
      <c r="J166" s="1709" t="s">
        <v>2466</v>
      </c>
    </row>
    <row r="167" spans="8:15">
      <c r="H167" s="1596" t="s">
        <v>2467</v>
      </c>
      <c r="I167" s="1709" t="s">
        <v>590</v>
      </c>
      <c r="J167" s="1709" t="s">
        <v>2468</v>
      </c>
    </row>
    <row r="168" spans="8:15">
      <c r="H168" s="1596" t="s">
        <v>2469</v>
      </c>
      <c r="I168" s="1709" t="s">
        <v>590</v>
      </c>
      <c r="J168" s="1709" t="s">
        <v>2470</v>
      </c>
    </row>
    <row r="169" spans="8:15">
      <c r="H169" s="1596" t="s">
        <v>2471</v>
      </c>
      <c r="I169" s="1709" t="s">
        <v>590</v>
      </c>
      <c r="J169" s="1709" t="s">
        <v>2472</v>
      </c>
    </row>
    <row r="170" spans="8:15">
      <c r="H170" s="1596" t="s">
        <v>2473</v>
      </c>
      <c r="I170" s="1709" t="s">
        <v>590</v>
      </c>
      <c r="J170" s="1709" t="s">
        <v>2474</v>
      </c>
    </row>
    <row r="171" spans="8:15">
      <c r="H171" s="1596" t="s">
        <v>2475</v>
      </c>
      <c r="I171" s="1709" t="s">
        <v>590</v>
      </c>
      <c r="J171" s="1709" t="s">
        <v>2476</v>
      </c>
    </row>
    <row r="172" spans="8:15">
      <c r="H172" s="1596" t="s">
        <v>2477</v>
      </c>
      <c r="I172" s="1709" t="s">
        <v>590</v>
      </c>
      <c r="J172" s="1709" t="s">
        <v>2478</v>
      </c>
    </row>
    <row r="173" spans="8:15">
      <c r="H173" s="1596" t="s">
        <v>2479</v>
      </c>
      <c r="I173" s="1709" t="s">
        <v>590</v>
      </c>
      <c r="J173" s="1709" t="s">
        <v>2480</v>
      </c>
    </row>
    <row r="174" spans="8:15">
      <c r="H174" s="1596" t="s">
        <v>2481</v>
      </c>
      <c r="I174" s="1709" t="s">
        <v>590</v>
      </c>
      <c r="J174" s="1709" t="s">
        <v>2482</v>
      </c>
    </row>
    <row r="175" spans="8:15">
      <c r="H175" s="1596" t="s">
        <v>2483</v>
      </c>
      <c r="I175" s="1709" t="s">
        <v>590</v>
      </c>
      <c r="J175" s="1709" t="s">
        <v>2484</v>
      </c>
    </row>
    <row r="176" spans="8:15">
      <c r="H176" s="1596" t="s">
        <v>2485</v>
      </c>
      <c r="I176" s="1709" t="s">
        <v>590</v>
      </c>
      <c r="J176" s="1709" t="s">
        <v>2486</v>
      </c>
    </row>
    <row r="177" spans="8:10">
      <c r="H177" s="1596" t="s">
        <v>2487</v>
      </c>
      <c r="I177" s="1709" t="s">
        <v>590</v>
      </c>
      <c r="J177" s="1709" t="s">
        <v>2488</v>
      </c>
    </row>
    <row r="178" spans="8:10">
      <c r="H178" s="1596" t="s">
        <v>2489</v>
      </c>
      <c r="I178" s="1709" t="s">
        <v>590</v>
      </c>
      <c r="J178" s="1709" t="s">
        <v>2490</v>
      </c>
    </row>
    <row r="179" spans="8:10">
      <c r="H179" s="1596" t="s">
        <v>2491</v>
      </c>
      <c r="I179" s="1709" t="s">
        <v>590</v>
      </c>
      <c r="J179" s="1709" t="s">
        <v>2492</v>
      </c>
    </row>
    <row r="180" spans="8:10">
      <c r="H180" s="1596" t="s">
        <v>2493</v>
      </c>
      <c r="I180" s="1709" t="s">
        <v>590</v>
      </c>
      <c r="J180" s="1709" t="s">
        <v>2494</v>
      </c>
    </row>
    <row r="181" spans="8:10">
      <c r="H181" s="1596" t="s">
        <v>2495</v>
      </c>
      <c r="I181" s="1709" t="s">
        <v>590</v>
      </c>
      <c r="J181" s="1709" t="s">
        <v>2496</v>
      </c>
    </row>
    <row r="182" spans="8:10">
      <c r="H182" s="1596" t="s">
        <v>2497</v>
      </c>
      <c r="I182" s="1709" t="s">
        <v>590</v>
      </c>
      <c r="J182" s="1709" t="s">
        <v>2498</v>
      </c>
    </row>
    <row r="183" spans="8:10">
      <c r="H183" s="1596" t="s">
        <v>2499</v>
      </c>
      <c r="I183" s="1709" t="s">
        <v>590</v>
      </c>
      <c r="J183" s="1709" t="s">
        <v>2500</v>
      </c>
    </row>
    <row r="184" spans="8:10">
      <c r="H184" s="1596" t="s">
        <v>2501</v>
      </c>
      <c r="I184" s="1709" t="s">
        <v>590</v>
      </c>
      <c r="J184" s="1709" t="s">
        <v>2502</v>
      </c>
    </row>
    <row r="185" spans="8:10">
      <c r="H185" s="1596" t="s">
        <v>2503</v>
      </c>
      <c r="I185" s="1709" t="s">
        <v>590</v>
      </c>
      <c r="J185" s="1709" t="s">
        <v>2504</v>
      </c>
    </row>
    <row r="186" spans="8:10">
      <c r="H186" s="1596" t="s">
        <v>2505</v>
      </c>
      <c r="I186" s="1709" t="s">
        <v>590</v>
      </c>
      <c r="J186" s="1709" t="s">
        <v>2506</v>
      </c>
    </row>
    <row r="187" spans="8:10">
      <c r="H187" s="1596" t="s">
        <v>2507</v>
      </c>
      <c r="I187" s="1709" t="s">
        <v>590</v>
      </c>
      <c r="J187" s="1709" t="s">
        <v>2508</v>
      </c>
    </row>
    <row r="188" spans="8:10">
      <c r="H188" s="1596" t="s">
        <v>2509</v>
      </c>
      <c r="I188" s="1709" t="s">
        <v>590</v>
      </c>
      <c r="J188" s="1709" t="s">
        <v>2510</v>
      </c>
    </row>
    <row r="189" spans="8:10">
      <c r="H189" s="1596" t="s">
        <v>2511</v>
      </c>
      <c r="I189" s="1709" t="s">
        <v>590</v>
      </c>
      <c r="J189" s="1709" t="s">
        <v>2512</v>
      </c>
    </row>
    <row r="190" spans="8:10">
      <c r="H190" s="1596" t="s">
        <v>2513</v>
      </c>
      <c r="I190" s="1709" t="s">
        <v>590</v>
      </c>
      <c r="J190" s="1709" t="s">
        <v>2514</v>
      </c>
    </row>
    <row r="191" spans="8:10">
      <c r="H191" s="1596" t="s">
        <v>2515</v>
      </c>
      <c r="I191" s="1709" t="s">
        <v>590</v>
      </c>
      <c r="J191" s="1709" t="s">
        <v>2516</v>
      </c>
    </row>
    <row r="192" spans="8:10">
      <c r="H192" s="1596" t="s">
        <v>2517</v>
      </c>
      <c r="I192" s="1709" t="s">
        <v>590</v>
      </c>
      <c r="J192" s="1709" t="s">
        <v>2518</v>
      </c>
    </row>
    <row r="193" spans="8:10">
      <c r="H193" s="1596" t="s">
        <v>2519</v>
      </c>
      <c r="I193" s="1709" t="s">
        <v>590</v>
      </c>
      <c r="J193" s="1709" t="s">
        <v>2520</v>
      </c>
    </row>
    <row r="194" spans="8:10">
      <c r="H194" s="1596" t="s">
        <v>2521</v>
      </c>
      <c r="I194" s="1709" t="s">
        <v>590</v>
      </c>
      <c r="J194" s="1709" t="s">
        <v>2522</v>
      </c>
    </row>
    <row r="195" spans="8:10">
      <c r="H195" s="1596" t="s">
        <v>2523</v>
      </c>
      <c r="I195" s="1709" t="s">
        <v>590</v>
      </c>
      <c r="J195" s="1709" t="s">
        <v>2524</v>
      </c>
    </row>
    <row r="196" spans="8:10">
      <c r="H196" s="1596" t="s">
        <v>2525</v>
      </c>
      <c r="I196" s="1709" t="s">
        <v>590</v>
      </c>
      <c r="J196" s="1709" t="s">
        <v>2526</v>
      </c>
    </row>
    <row r="197" spans="8:10">
      <c r="H197" s="1596" t="s">
        <v>2527</v>
      </c>
      <c r="I197" s="1709" t="s">
        <v>590</v>
      </c>
      <c r="J197" s="1709" t="s">
        <v>2528</v>
      </c>
    </row>
    <row r="198" spans="8:10">
      <c r="H198" s="1596" t="s">
        <v>2529</v>
      </c>
      <c r="I198" s="1709" t="s">
        <v>590</v>
      </c>
      <c r="J198" s="1709" t="s">
        <v>2530</v>
      </c>
    </row>
    <row r="199" spans="8:10">
      <c r="H199" s="1596" t="s">
        <v>2531</v>
      </c>
      <c r="I199" s="1709" t="s">
        <v>590</v>
      </c>
      <c r="J199" s="1709" t="s">
        <v>2532</v>
      </c>
    </row>
    <row r="200" spans="8:10">
      <c r="H200" s="1596" t="s">
        <v>2533</v>
      </c>
      <c r="I200" s="1709" t="s">
        <v>590</v>
      </c>
      <c r="J200" s="1709" t="s">
        <v>2534</v>
      </c>
    </row>
    <row r="201" spans="8:10">
      <c r="H201" s="1596" t="s">
        <v>2535</v>
      </c>
      <c r="I201" s="1709" t="s">
        <v>590</v>
      </c>
      <c r="J201" s="1709" t="s">
        <v>2536</v>
      </c>
    </row>
    <row r="202" spans="8:10">
      <c r="H202" s="1596" t="s">
        <v>2537</v>
      </c>
      <c r="I202" s="1709" t="s">
        <v>590</v>
      </c>
      <c r="J202" s="1709" t="s">
        <v>2538</v>
      </c>
    </row>
    <row r="203" spans="8:10">
      <c r="H203" s="1596" t="s">
        <v>2539</v>
      </c>
      <c r="I203" s="1709" t="s">
        <v>590</v>
      </c>
      <c r="J203" s="1709" t="s">
        <v>2540</v>
      </c>
    </row>
    <row r="204" spans="8:10">
      <c r="H204" s="1596" t="s">
        <v>2541</v>
      </c>
      <c r="I204" s="1709" t="s">
        <v>590</v>
      </c>
      <c r="J204" s="1709" t="s">
        <v>2542</v>
      </c>
    </row>
    <row r="205" spans="8:10">
      <c r="H205" s="1596" t="s">
        <v>2543</v>
      </c>
      <c r="I205" s="1709" t="s">
        <v>590</v>
      </c>
      <c r="J205" s="1709" t="s">
        <v>2544</v>
      </c>
    </row>
    <row r="206" spans="8:10">
      <c r="H206" s="1596" t="s">
        <v>2545</v>
      </c>
      <c r="I206" s="1709" t="s">
        <v>590</v>
      </c>
      <c r="J206" s="1709" t="s">
        <v>2546</v>
      </c>
    </row>
    <row r="207" spans="8:10">
      <c r="H207" s="1596" t="s">
        <v>2547</v>
      </c>
      <c r="I207" s="1709" t="s">
        <v>590</v>
      </c>
      <c r="J207" s="1709" t="s">
        <v>2548</v>
      </c>
    </row>
    <row r="208" spans="8:10">
      <c r="H208" s="1596" t="s">
        <v>2549</v>
      </c>
      <c r="I208" s="1709" t="s">
        <v>590</v>
      </c>
      <c r="J208" s="1709" t="s">
        <v>2550</v>
      </c>
    </row>
    <row r="209" spans="8:10">
      <c r="H209" s="1596" t="s">
        <v>2551</v>
      </c>
      <c r="I209" s="1709" t="s">
        <v>590</v>
      </c>
      <c r="J209" s="1709" t="s">
        <v>2552</v>
      </c>
    </row>
    <row r="210" spans="8:10">
      <c r="H210" s="1596" t="s">
        <v>2553</v>
      </c>
      <c r="I210" s="1709" t="s">
        <v>590</v>
      </c>
      <c r="J210" s="1709" t="s">
        <v>2554</v>
      </c>
    </row>
    <row r="211" spans="8:10">
      <c r="H211" s="1596" t="s">
        <v>2555</v>
      </c>
      <c r="I211" s="1709" t="s">
        <v>590</v>
      </c>
      <c r="J211" s="1709" t="s">
        <v>2556</v>
      </c>
    </row>
    <row r="212" spans="8:10">
      <c r="H212" s="1596" t="s">
        <v>2557</v>
      </c>
      <c r="I212" s="1709" t="s">
        <v>590</v>
      </c>
      <c r="J212" s="1709" t="s">
        <v>2558</v>
      </c>
    </row>
    <row r="213" spans="8:10">
      <c r="H213" s="1596" t="s">
        <v>2559</v>
      </c>
      <c r="I213" s="1709" t="s">
        <v>590</v>
      </c>
      <c r="J213" s="1709" t="s">
        <v>2560</v>
      </c>
    </row>
    <row r="214" spans="8:10">
      <c r="H214" s="1596" t="s">
        <v>2561</v>
      </c>
      <c r="I214" s="1709" t="s">
        <v>590</v>
      </c>
      <c r="J214" s="1709" t="s">
        <v>2562</v>
      </c>
    </row>
    <row r="215" spans="8:10">
      <c r="H215" s="1596" t="s">
        <v>2563</v>
      </c>
      <c r="I215" s="1709" t="s">
        <v>590</v>
      </c>
      <c r="J215" s="1709" t="s">
        <v>2564</v>
      </c>
    </row>
    <row r="216" spans="8:10">
      <c r="H216" s="1596" t="s">
        <v>2565</v>
      </c>
      <c r="I216" s="1709" t="s">
        <v>590</v>
      </c>
      <c r="J216" s="1709" t="s">
        <v>2566</v>
      </c>
    </row>
    <row r="217" spans="8:10">
      <c r="H217" s="1596" t="s">
        <v>2567</v>
      </c>
      <c r="I217" s="1709" t="s">
        <v>590</v>
      </c>
      <c r="J217" s="1709" t="s">
        <v>2568</v>
      </c>
    </row>
    <row r="218" spans="8:10">
      <c r="H218" s="1596" t="s">
        <v>2569</v>
      </c>
      <c r="I218" s="1709" t="s">
        <v>590</v>
      </c>
      <c r="J218" s="1709" t="s">
        <v>2570</v>
      </c>
    </row>
    <row r="219" spans="8:10">
      <c r="H219" s="1596" t="s">
        <v>2571</v>
      </c>
      <c r="I219" s="1709" t="s">
        <v>590</v>
      </c>
      <c r="J219" s="1709" t="s">
        <v>2572</v>
      </c>
    </row>
    <row r="220" spans="8:10">
      <c r="H220" s="1596" t="s">
        <v>2573</v>
      </c>
      <c r="I220" s="1709" t="s">
        <v>590</v>
      </c>
      <c r="J220" s="1709" t="s">
        <v>2574</v>
      </c>
    </row>
    <row r="221" spans="8:10">
      <c r="H221" s="1596" t="s">
        <v>2575</v>
      </c>
      <c r="I221" s="1709" t="s">
        <v>590</v>
      </c>
      <c r="J221" s="1709" t="s">
        <v>2576</v>
      </c>
    </row>
    <row r="222" spans="8:10">
      <c r="H222" s="1596" t="s">
        <v>2577</v>
      </c>
      <c r="I222" s="1709" t="s">
        <v>590</v>
      </c>
      <c r="J222" s="1709" t="s">
        <v>2578</v>
      </c>
    </row>
    <row r="223" spans="8:10">
      <c r="H223" s="1596" t="s">
        <v>2579</v>
      </c>
      <c r="I223" s="1709" t="s">
        <v>590</v>
      </c>
      <c r="J223" s="1709" t="s">
        <v>2580</v>
      </c>
    </row>
    <row r="224" spans="8:10">
      <c r="H224" s="1596" t="s">
        <v>2581</v>
      </c>
      <c r="I224" s="1709" t="s">
        <v>590</v>
      </c>
      <c r="J224" s="1709" t="s">
        <v>2582</v>
      </c>
    </row>
    <row r="225" spans="8:10">
      <c r="H225" s="1596" t="s">
        <v>2583</v>
      </c>
      <c r="I225" s="1709" t="s">
        <v>590</v>
      </c>
      <c r="J225" s="1709" t="s">
        <v>2584</v>
      </c>
    </row>
    <row r="226" spans="8:10">
      <c r="H226" s="1596" t="s">
        <v>2585</v>
      </c>
      <c r="I226" s="1709" t="s">
        <v>590</v>
      </c>
      <c r="J226" s="1709" t="s">
        <v>2586</v>
      </c>
    </row>
    <row r="227" spans="8:10">
      <c r="H227" s="1596" t="s">
        <v>2587</v>
      </c>
      <c r="I227" s="1709" t="s">
        <v>590</v>
      </c>
      <c r="J227" s="1709" t="s">
        <v>2588</v>
      </c>
    </row>
    <row r="228" spans="8:10">
      <c r="H228" s="1596" t="s">
        <v>2589</v>
      </c>
      <c r="I228" s="1709" t="s">
        <v>590</v>
      </c>
      <c r="J228" s="1709" t="s">
        <v>2590</v>
      </c>
    </row>
    <row r="229" spans="8:10">
      <c r="H229" s="1596" t="s">
        <v>2591</v>
      </c>
      <c r="I229" s="1709" t="s">
        <v>590</v>
      </c>
      <c r="J229" s="1709" t="s">
        <v>2592</v>
      </c>
    </row>
    <row r="230" spans="8:10">
      <c r="H230" s="1596" t="s">
        <v>2593</v>
      </c>
      <c r="I230" s="1709" t="s">
        <v>590</v>
      </c>
      <c r="J230" s="1709" t="s">
        <v>2594</v>
      </c>
    </row>
    <row r="231" spans="8:10">
      <c r="H231" s="1596" t="s">
        <v>2595</v>
      </c>
      <c r="I231" s="1709" t="s">
        <v>590</v>
      </c>
      <c r="J231" s="1709" t="s">
        <v>2596</v>
      </c>
    </row>
    <row r="232" spans="8:10">
      <c r="H232" s="1596" t="s">
        <v>2597</v>
      </c>
      <c r="I232" s="1709" t="s">
        <v>590</v>
      </c>
      <c r="J232" s="1709" t="s">
        <v>2598</v>
      </c>
    </row>
    <row r="233" spans="8:10">
      <c r="H233" s="1596" t="s">
        <v>2599</v>
      </c>
      <c r="I233" s="1709" t="s">
        <v>590</v>
      </c>
      <c r="J233" s="1709" t="s">
        <v>2600</v>
      </c>
    </row>
    <row r="234" spans="8:10">
      <c r="H234" s="1596" t="s">
        <v>2601</v>
      </c>
      <c r="I234" s="1709" t="s">
        <v>590</v>
      </c>
      <c r="J234" s="1709" t="s">
        <v>2602</v>
      </c>
    </row>
    <row r="235" spans="8:10">
      <c r="H235" s="1596" t="s">
        <v>2603</v>
      </c>
      <c r="I235" s="1709" t="s">
        <v>590</v>
      </c>
      <c r="J235" s="1709" t="s">
        <v>2604</v>
      </c>
    </row>
    <row r="236" spans="8:10">
      <c r="H236" s="1596" t="s">
        <v>2605</v>
      </c>
      <c r="I236" s="1709" t="s">
        <v>590</v>
      </c>
      <c r="J236" s="1709" t="s">
        <v>2606</v>
      </c>
    </row>
    <row r="237" spans="8:10">
      <c r="H237" s="1596" t="s">
        <v>2607</v>
      </c>
      <c r="I237" s="1709" t="s">
        <v>590</v>
      </c>
      <c r="J237" s="1709" t="s">
        <v>2608</v>
      </c>
    </row>
    <row r="238" spans="8:10">
      <c r="H238" s="1596" t="s">
        <v>2609</v>
      </c>
      <c r="I238" s="1709" t="s">
        <v>590</v>
      </c>
      <c r="J238" s="1709" t="s">
        <v>2610</v>
      </c>
    </row>
    <row r="239" spans="8:10">
      <c r="H239" s="1596" t="s">
        <v>2611</v>
      </c>
      <c r="I239" s="1709" t="s">
        <v>590</v>
      </c>
      <c r="J239" s="1709" t="s">
        <v>2612</v>
      </c>
    </row>
    <row r="240" spans="8:10">
      <c r="H240" s="1596" t="s">
        <v>2613</v>
      </c>
      <c r="I240" s="1709" t="s">
        <v>590</v>
      </c>
      <c r="J240" s="1709" t="s">
        <v>2614</v>
      </c>
    </row>
    <row r="241" spans="8:10">
      <c r="H241" s="1596" t="s">
        <v>2615</v>
      </c>
      <c r="I241" s="1709" t="s">
        <v>590</v>
      </c>
      <c r="J241" s="1709" t="s">
        <v>2616</v>
      </c>
    </row>
    <row r="242" spans="8:10">
      <c r="H242" s="1596" t="s">
        <v>2617</v>
      </c>
      <c r="I242" s="1709" t="s">
        <v>590</v>
      </c>
      <c r="J242" s="1709" t="s">
        <v>2618</v>
      </c>
    </row>
    <row r="243" spans="8:10">
      <c r="H243" s="1596" t="s">
        <v>2619</v>
      </c>
      <c r="I243" s="1709" t="s">
        <v>590</v>
      </c>
      <c r="J243" s="1709" t="s">
        <v>2620</v>
      </c>
    </row>
    <row r="244" spans="8:10">
      <c r="H244" s="1596" t="s">
        <v>2621</v>
      </c>
      <c r="I244" s="1709" t="s">
        <v>590</v>
      </c>
      <c r="J244" s="1709" t="s">
        <v>2622</v>
      </c>
    </row>
    <row r="245" spans="8:10">
      <c r="H245" s="1596" t="s">
        <v>2623</v>
      </c>
      <c r="I245" s="1709" t="s">
        <v>590</v>
      </c>
      <c r="J245" s="1709" t="s">
        <v>2624</v>
      </c>
    </row>
    <row r="246" spans="8:10">
      <c r="H246" s="1596" t="s">
        <v>2625</v>
      </c>
      <c r="I246" s="1709" t="s">
        <v>590</v>
      </c>
      <c r="J246" s="1709" t="s">
        <v>2626</v>
      </c>
    </row>
    <row r="247" spans="8:10">
      <c r="H247" s="1596" t="s">
        <v>2627</v>
      </c>
      <c r="I247" s="1709" t="s">
        <v>590</v>
      </c>
      <c r="J247" s="1709" t="s">
        <v>2628</v>
      </c>
    </row>
    <row r="248" spans="8:10">
      <c r="H248" s="1596" t="s">
        <v>2629</v>
      </c>
      <c r="I248" s="1709" t="s">
        <v>590</v>
      </c>
      <c r="J248" s="1709" t="s">
        <v>2630</v>
      </c>
    </row>
    <row r="249" spans="8:10">
      <c r="H249" s="1596" t="s">
        <v>2631</v>
      </c>
      <c r="I249" s="1709" t="s">
        <v>590</v>
      </c>
      <c r="J249" s="1709" t="s">
        <v>2632</v>
      </c>
    </row>
    <row r="250" spans="8:10">
      <c r="H250" s="1596" t="s">
        <v>2633</v>
      </c>
      <c r="I250" s="1709" t="s">
        <v>590</v>
      </c>
      <c r="J250" s="1709" t="s">
        <v>2634</v>
      </c>
    </row>
    <row r="251" spans="8:10">
      <c r="H251" s="1596" t="s">
        <v>2635</v>
      </c>
      <c r="I251" s="1709" t="s">
        <v>590</v>
      </c>
      <c r="J251" s="1709" t="s">
        <v>2636</v>
      </c>
    </row>
    <row r="252" spans="8:10">
      <c r="H252" s="1596" t="s">
        <v>2637</v>
      </c>
      <c r="I252" s="1709" t="s">
        <v>590</v>
      </c>
      <c r="J252" s="1709" t="s">
        <v>2638</v>
      </c>
    </row>
    <row r="253" spans="8:10">
      <c r="H253" s="1596" t="s">
        <v>2639</v>
      </c>
      <c r="I253" s="1709" t="s">
        <v>590</v>
      </c>
      <c r="J253" s="1709" t="s">
        <v>2640</v>
      </c>
    </row>
    <row r="254" spans="8:10">
      <c r="H254" s="1596" t="s">
        <v>2641</v>
      </c>
      <c r="I254" s="1709" t="s">
        <v>590</v>
      </c>
      <c r="J254" s="1709" t="s">
        <v>2642</v>
      </c>
    </row>
    <row r="255" spans="8:10">
      <c r="H255" s="1596" t="s">
        <v>2643</v>
      </c>
      <c r="I255" s="1709" t="s">
        <v>590</v>
      </c>
      <c r="J255" s="1709" t="s">
        <v>2644</v>
      </c>
    </row>
    <row r="256" spans="8:10">
      <c r="H256" s="1596" t="s">
        <v>2645</v>
      </c>
      <c r="I256" s="1709" t="s">
        <v>590</v>
      </c>
      <c r="J256" s="1709" t="s">
        <v>2646</v>
      </c>
    </row>
    <row r="257" spans="8:10">
      <c r="H257" s="1596" t="s">
        <v>2647</v>
      </c>
      <c r="I257" s="1709" t="s">
        <v>590</v>
      </c>
      <c r="J257" s="1709" t="s">
        <v>2648</v>
      </c>
    </row>
    <row r="258" spans="8:10">
      <c r="H258" s="1596" t="s">
        <v>2649</v>
      </c>
      <c r="I258" s="1709" t="s">
        <v>590</v>
      </c>
      <c r="J258" s="1709" t="s">
        <v>2650</v>
      </c>
    </row>
    <row r="259" spans="8:10">
      <c r="H259" s="1596" t="s">
        <v>2651</v>
      </c>
      <c r="I259" s="1709" t="s">
        <v>590</v>
      </c>
      <c r="J259" s="1709" t="s">
        <v>2652</v>
      </c>
    </row>
    <row r="260" spans="8:10">
      <c r="H260" s="1596" t="s">
        <v>2653</v>
      </c>
      <c r="I260" s="1709" t="s">
        <v>590</v>
      </c>
      <c r="J260" s="1709" t="s">
        <v>2654</v>
      </c>
    </row>
    <row r="261" spans="8:10">
      <c r="H261" s="1596" t="s">
        <v>2655</v>
      </c>
      <c r="I261" s="1709" t="s">
        <v>590</v>
      </c>
      <c r="J261" s="1709" t="s">
        <v>2656</v>
      </c>
    </row>
    <row r="262" spans="8:10">
      <c r="H262" s="1596" t="s">
        <v>2657</v>
      </c>
      <c r="I262" s="1709" t="s">
        <v>590</v>
      </c>
      <c r="J262" s="1709" t="s">
        <v>2658</v>
      </c>
    </row>
    <row r="263" spans="8:10">
      <c r="H263" s="1596" t="s">
        <v>2659</v>
      </c>
      <c r="I263" s="1709" t="s">
        <v>590</v>
      </c>
      <c r="J263" s="1709" t="s">
        <v>2660</v>
      </c>
    </row>
    <row r="264" spans="8:10">
      <c r="H264" s="1596" t="s">
        <v>2661</v>
      </c>
      <c r="I264" s="1709" t="s">
        <v>590</v>
      </c>
      <c r="J264" s="1709" t="s">
        <v>2662</v>
      </c>
    </row>
    <row r="265" spans="8:10">
      <c r="H265" s="1596" t="s">
        <v>2663</v>
      </c>
      <c r="I265" s="1709" t="s">
        <v>590</v>
      </c>
      <c r="J265" s="1709" t="s">
        <v>2664</v>
      </c>
    </row>
    <row r="266" spans="8:10">
      <c r="H266" s="1596" t="s">
        <v>2665</v>
      </c>
      <c r="I266" s="1709" t="s">
        <v>590</v>
      </c>
      <c r="J266" s="1709" t="s">
        <v>2666</v>
      </c>
    </row>
    <row r="267" spans="8:10">
      <c r="H267" s="1596" t="s">
        <v>2667</v>
      </c>
      <c r="I267" s="1709" t="s">
        <v>590</v>
      </c>
      <c r="J267" s="1709" t="s">
        <v>2668</v>
      </c>
    </row>
    <row r="268" spans="8:10">
      <c r="H268" s="1596" t="s">
        <v>2669</v>
      </c>
      <c r="I268" s="1709" t="s">
        <v>590</v>
      </c>
      <c r="J268" s="1709" t="s">
        <v>2670</v>
      </c>
    </row>
    <row r="269" spans="8:10">
      <c r="H269" s="1596" t="s">
        <v>2671</v>
      </c>
      <c r="I269" s="1709" t="s">
        <v>590</v>
      </c>
      <c r="J269" s="1709" t="s">
        <v>2672</v>
      </c>
    </row>
    <row r="270" spans="8:10">
      <c r="H270" s="1596" t="s">
        <v>2673</v>
      </c>
      <c r="I270" s="1709" t="s">
        <v>590</v>
      </c>
      <c r="J270" s="1709" t="s">
        <v>2674</v>
      </c>
    </row>
    <row r="271" spans="8:10">
      <c r="H271" s="1596" t="s">
        <v>2675</v>
      </c>
      <c r="I271" s="1709" t="s">
        <v>590</v>
      </c>
      <c r="J271" s="1709" t="s">
        <v>2676</v>
      </c>
    </row>
    <row r="272" spans="8:10">
      <c r="H272" s="1596" t="s">
        <v>2677</v>
      </c>
      <c r="I272" s="1709" t="s">
        <v>590</v>
      </c>
      <c r="J272" s="1709" t="s">
        <v>2678</v>
      </c>
    </row>
    <row r="273" spans="8:10">
      <c r="H273" s="1596" t="s">
        <v>2679</v>
      </c>
      <c r="I273" s="1709" t="s">
        <v>590</v>
      </c>
      <c r="J273" s="1709" t="s">
        <v>2680</v>
      </c>
    </row>
    <row r="274" spans="8:10">
      <c r="H274" s="1596" t="s">
        <v>2681</v>
      </c>
      <c r="I274" s="1709" t="s">
        <v>590</v>
      </c>
      <c r="J274" s="1709" t="s">
        <v>2682</v>
      </c>
    </row>
    <row r="275" spans="8:10">
      <c r="H275" s="1596" t="s">
        <v>2683</v>
      </c>
      <c r="I275" s="1709" t="s">
        <v>590</v>
      </c>
      <c r="J275" s="1709" t="s">
        <v>2684</v>
      </c>
    </row>
    <row r="276" spans="8:10">
      <c r="H276" s="1596" t="s">
        <v>2685</v>
      </c>
      <c r="I276" s="1709" t="s">
        <v>590</v>
      </c>
      <c r="J276" s="1709" t="s">
        <v>2686</v>
      </c>
    </row>
    <row r="277" spans="8:10">
      <c r="H277" s="1596" t="s">
        <v>2687</v>
      </c>
      <c r="I277" s="1709" t="s">
        <v>590</v>
      </c>
      <c r="J277" s="1709" t="s">
        <v>2688</v>
      </c>
    </row>
    <row r="278" spans="8:10">
      <c r="H278" s="1596" t="s">
        <v>2689</v>
      </c>
      <c r="I278" s="1709" t="s">
        <v>590</v>
      </c>
      <c r="J278" s="1709" t="s">
        <v>2690</v>
      </c>
    </row>
    <row r="279" spans="8:10">
      <c r="H279" s="1596" t="s">
        <v>2691</v>
      </c>
      <c r="I279" s="1709" t="s">
        <v>590</v>
      </c>
      <c r="J279" s="1709" t="s">
        <v>2692</v>
      </c>
    </row>
    <row r="280" spans="8:10">
      <c r="H280" s="1596" t="s">
        <v>2693</v>
      </c>
      <c r="I280" s="1709" t="s">
        <v>590</v>
      </c>
      <c r="J280" s="1709" t="s">
        <v>2694</v>
      </c>
    </row>
    <row r="281" spans="8:10">
      <c r="H281" s="1596" t="s">
        <v>2695</v>
      </c>
      <c r="I281" s="1709" t="s">
        <v>590</v>
      </c>
      <c r="J281" s="1709" t="s">
        <v>2696</v>
      </c>
    </row>
    <row r="282" spans="8:10">
      <c r="H282" s="1596" t="s">
        <v>2697</v>
      </c>
      <c r="I282" s="1709" t="s">
        <v>590</v>
      </c>
      <c r="J282" s="1709" t="s">
        <v>2698</v>
      </c>
    </row>
    <row r="283" spans="8:10">
      <c r="H283" s="1596" t="s">
        <v>2699</v>
      </c>
      <c r="I283" s="1709" t="s">
        <v>590</v>
      </c>
      <c r="J283" s="1709" t="s">
        <v>2700</v>
      </c>
    </row>
    <row r="284" spans="8:10">
      <c r="H284" s="1596" t="s">
        <v>2701</v>
      </c>
      <c r="I284" s="1709" t="s">
        <v>590</v>
      </c>
      <c r="J284" s="1709" t="s">
        <v>2702</v>
      </c>
    </row>
    <row r="285" spans="8:10">
      <c r="H285" s="1596" t="s">
        <v>2703</v>
      </c>
      <c r="I285" s="1709" t="s">
        <v>590</v>
      </c>
      <c r="J285" s="1709" t="s">
        <v>2704</v>
      </c>
    </row>
    <row r="286" spans="8:10">
      <c r="H286" s="1596" t="s">
        <v>2705</v>
      </c>
      <c r="I286" s="1709" t="s">
        <v>590</v>
      </c>
      <c r="J286" s="1709" t="s">
        <v>2706</v>
      </c>
    </row>
    <row r="287" spans="8:10">
      <c r="H287" s="1596" t="s">
        <v>2707</v>
      </c>
      <c r="I287" s="1709" t="s">
        <v>590</v>
      </c>
      <c r="J287" s="1709" t="s">
        <v>2708</v>
      </c>
    </row>
    <row r="288" spans="8:10">
      <c r="H288" s="1596" t="s">
        <v>2709</v>
      </c>
      <c r="I288" s="1709" t="s">
        <v>590</v>
      </c>
      <c r="J288" s="1709" t="s">
        <v>2710</v>
      </c>
    </row>
    <row r="289" spans="8:12">
      <c r="H289" s="1596" t="s">
        <v>2711</v>
      </c>
      <c r="I289" s="1709" t="s">
        <v>590</v>
      </c>
      <c r="J289" s="1709" t="s">
        <v>2712</v>
      </c>
    </row>
    <row r="290" spans="8:12">
      <c r="H290" s="1596" t="s">
        <v>2713</v>
      </c>
      <c r="I290" s="1709" t="s">
        <v>590</v>
      </c>
      <c r="J290" s="1709" t="s">
        <v>2714</v>
      </c>
    </row>
    <row r="291" spans="8:12">
      <c r="H291" s="1596" t="s">
        <v>2715</v>
      </c>
      <c r="I291" s="1709" t="s">
        <v>590</v>
      </c>
      <c r="J291" s="1709" t="s">
        <v>2716</v>
      </c>
    </row>
    <row r="292" spans="8:12">
      <c r="H292" s="1596" t="s">
        <v>2717</v>
      </c>
      <c r="I292" s="1709" t="s">
        <v>590</v>
      </c>
      <c r="J292" s="1709" t="s">
        <v>2718</v>
      </c>
    </row>
    <row r="293" spans="8:12">
      <c r="H293" s="1596" t="s">
        <v>2719</v>
      </c>
      <c r="I293" s="1709" t="s">
        <v>590</v>
      </c>
      <c r="J293" s="1709" t="s">
        <v>2720</v>
      </c>
    </row>
    <row r="294" spans="8:12">
      <c r="H294" s="1596" t="s">
        <v>2721</v>
      </c>
      <c r="I294" s="1709" t="s">
        <v>590</v>
      </c>
      <c r="J294" s="1709" t="s">
        <v>5583</v>
      </c>
    </row>
    <row r="295" spans="8:12">
      <c r="H295" s="1596" t="s">
        <v>2722</v>
      </c>
      <c r="I295" s="1709" t="s">
        <v>590</v>
      </c>
      <c r="J295" s="1709" t="s">
        <v>2723</v>
      </c>
    </row>
    <row r="296" spans="8:12">
      <c r="H296" s="1596" t="s">
        <v>2724</v>
      </c>
      <c r="I296" s="1709" t="s">
        <v>590</v>
      </c>
      <c r="J296" s="1709" t="s">
        <v>2725</v>
      </c>
    </row>
    <row r="297" spans="8:12">
      <c r="H297" s="1596" t="s">
        <v>2726</v>
      </c>
      <c r="I297" s="1709" t="s">
        <v>590</v>
      </c>
      <c r="J297" s="1709" t="s">
        <v>2727</v>
      </c>
    </row>
    <row r="298" spans="8:12">
      <c r="H298" s="1596" t="s">
        <v>5584</v>
      </c>
      <c r="I298" s="1709" t="s">
        <v>591</v>
      </c>
      <c r="K298" s="1709">
        <f>ROW()</f>
        <v>298</v>
      </c>
      <c r="L298" s="1709">
        <f>K298+COUNTIF($I$118:$I$1905,I298)-1</f>
        <v>338</v>
      </c>
    </row>
    <row r="299" spans="8:12">
      <c r="H299" s="1596" t="s">
        <v>1347</v>
      </c>
      <c r="I299" s="1709" t="s">
        <v>591</v>
      </c>
      <c r="J299" s="1709" t="s">
        <v>1468</v>
      </c>
    </row>
    <row r="300" spans="8:12">
      <c r="H300" s="1596" t="s">
        <v>2728</v>
      </c>
      <c r="I300" s="1709" t="s">
        <v>591</v>
      </c>
      <c r="J300" s="1709" t="s">
        <v>2729</v>
      </c>
    </row>
    <row r="301" spans="8:12">
      <c r="H301" s="1596" t="s">
        <v>1801</v>
      </c>
      <c r="I301" s="1709" t="s">
        <v>591</v>
      </c>
      <c r="J301" s="1709" t="s">
        <v>1800</v>
      </c>
    </row>
    <row r="302" spans="8:12">
      <c r="H302" s="1596" t="s">
        <v>2730</v>
      </c>
      <c r="I302" s="1709" t="s">
        <v>591</v>
      </c>
      <c r="J302" s="1709" t="s">
        <v>2731</v>
      </c>
    </row>
    <row r="303" spans="8:12">
      <c r="H303" s="1596" t="s">
        <v>2732</v>
      </c>
      <c r="I303" s="1709" t="s">
        <v>591</v>
      </c>
      <c r="J303" s="1709" t="s">
        <v>2733</v>
      </c>
    </row>
    <row r="304" spans="8:12">
      <c r="H304" s="1596" t="s">
        <v>2734</v>
      </c>
      <c r="I304" s="1709" t="s">
        <v>591</v>
      </c>
      <c r="J304" s="1709" t="s">
        <v>2735</v>
      </c>
    </row>
    <row r="305" spans="8:10">
      <c r="H305" s="1596" t="s">
        <v>2736</v>
      </c>
      <c r="I305" s="1709" t="s">
        <v>591</v>
      </c>
      <c r="J305" s="1709" t="s">
        <v>2737</v>
      </c>
    </row>
    <row r="306" spans="8:10">
      <c r="H306" s="1596" t="s">
        <v>2738</v>
      </c>
      <c r="I306" s="1709" t="s">
        <v>591</v>
      </c>
      <c r="J306" s="1709" t="s">
        <v>2739</v>
      </c>
    </row>
    <row r="307" spans="8:10">
      <c r="H307" s="1596" t="s">
        <v>2740</v>
      </c>
      <c r="I307" s="1709" t="s">
        <v>591</v>
      </c>
      <c r="J307" s="1709" t="s">
        <v>2741</v>
      </c>
    </row>
    <row r="308" spans="8:10">
      <c r="H308" s="1596" t="s">
        <v>2742</v>
      </c>
      <c r="I308" s="1709" t="s">
        <v>591</v>
      </c>
      <c r="J308" s="1709" t="s">
        <v>2743</v>
      </c>
    </row>
    <row r="309" spans="8:10">
      <c r="H309" s="1596" t="s">
        <v>2744</v>
      </c>
      <c r="I309" s="1709" t="s">
        <v>591</v>
      </c>
      <c r="J309" s="1709" t="s">
        <v>2745</v>
      </c>
    </row>
    <row r="310" spans="8:10">
      <c r="H310" s="1596" t="s">
        <v>2746</v>
      </c>
      <c r="I310" s="1709" t="s">
        <v>591</v>
      </c>
      <c r="J310" s="1709" t="s">
        <v>2747</v>
      </c>
    </row>
    <row r="311" spans="8:10">
      <c r="H311" s="1596" t="s">
        <v>2748</v>
      </c>
      <c r="I311" s="1709" t="s">
        <v>591</v>
      </c>
      <c r="J311" s="1709" t="s">
        <v>2749</v>
      </c>
    </row>
    <row r="312" spans="8:10">
      <c r="H312" s="1596" t="s">
        <v>2750</v>
      </c>
      <c r="I312" s="1709" t="s">
        <v>591</v>
      </c>
      <c r="J312" s="1709" t="s">
        <v>2751</v>
      </c>
    </row>
    <row r="313" spans="8:10">
      <c r="H313" s="1596" t="s">
        <v>2752</v>
      </c>
      <c r="I313" s="1709" t="s">
        <v>591</v>
      </c>
      <c r="J313" s="1709" t="s">
        <v>2753</v>
      </c>
    </row>
    <row r="314" spans="8:10">
      <c r="H314" s="1596" t="s">
        <v>2754</v>
      </c>
      <c r="I314" s="1709" t="s">
        <v>591</v>
      </c>
      <c r="J314" s="1709" t="s">
        <v>2755</v>
      </c>
    </row>
    <row r="315" spans="8:10">
      <c r="H315" s="1596" t="s">
        <v>2756</v>
      </c>
      <c r="I315" s="1709" t="s">
        <v>591</v>
      </c>
      <c r="J315" s="1709" t="s">
        <v>2757</v>
      </c>
    </row>
    <row r="316" spans="8:10">
      <c r="H316" s="1596" t="s">
        <v>2758</v>
      </c>
      <c r="I316" s="1709" t="s">
        <v>591</v>
      </c>
      <c r="J316" s="1709" t="s">
        <v>2759</v>
      </c>
    </row>
    <row r="317" spans="8:10">
      <c r="H317" s="1596" t="s">
        <v>2760</v>
      </c>
      <c r="I317" s="1709" t="s">
        <v>591</v>
      </c>
      <c r="J317" s="1709" t="s">
        <v>2761</v>
      </c>
    </row>
    <row r="318" spans="8:10">
      <c r="H318" s="1596" t="s">
        <v>2762</v>
      </c>
      <c r="I318" s="1709" t="s">
        <v>591</v>
      </c>
      <c r="J318" s="1709" t="s">
        <v>2763</v>
      </c>
    </row>
    <row r="319" spans="8:10">
      <c r="H319" s="1596" t="s">
        <v>2764</v>
      </c>
      <c r="I319" s="1709" t="s">
        <v>591</v>
      </c>
      <c r="J319" s="1709" t="s">
        <v>2765</v>
      </c>
    </row>
    <row r="320" spans="8:10">
      <c r="H320" s="1596" t="s">
        <v>2766</v>
      </c>
      <c r="I320" s="1709" t="s">
        <v>591</v>
      </c>
      <c r="J320" s="1709" t="s">
        <v>2767</v>
      </c>
    </row>
    <row r="321" spans="8:10">
      <c r="H321" s="1596" t="s">
        <v>2768</v>
      </c>
      <c r="I321" s="1709" t="s">
        <v>591</v>
      </c>
      <c r="J321" s="1709" t="s">
        <v>2769</v>
      </c>
    </row>
    <row r="322" spans="8:10">
      <c r="H322" s="1596" t="s">
        <v>2770</v>
      </c>
      <c r="I322" s="1709" t="s">
        <v>591</v>
      </c>
      <c r="J322" s="1709" t="s">
        <v>2771</v>
      </c>
    </row>
    <row r="323" spans="8:10">
      <c r="H323" s="1596" t="s">
        <v>2772</v>
      </c>
      <c r="I323" s="1709" t="s">
        <v>591</v>
      </c>
      <c r="J323" s="1709" t="s">
        <v>2773</v>
      </c>
    </row>
    <row r="324" spans="8:10">
      <c r="H324" s="1596" t="s">
        <v>2774</v>
      </c>
      <c r="I324" s="1709" t="s">
        <v>591</v>
      </c>
      <c r="J324" s="1709" t="s">
        <v>2775</v>
      </c>
    </row>
    <row r="325" spans="8:10">
      <c r="H325" s="1596" t="s">
        <v>2776</v>
      </c>
      <c r="I325" s="1709" t="s">
        <v>591</v>
      </c>
      <c r="J325" s="1709" t="s">
        <v>2777</v>
      </c>
    </row>
    <row r="326" spans="8:10">
      <c r="H326" s="1596" t="s">
        <v>2778</v>
      </c>
      <c r="I326" s="1709" t="s">
        <v>591</v>
      </c>
      <c r="J326" s="1709" t="s">
        <v>2779</v>
      </c>
    </row>
    <row r="327" spans="8:10">
      <c r="H327" s="1596" t="s">
        <v>2780</v>
      </c>
      <c r="I327" s="1709" t="s">
        <v>591</v>
      </c>
      <c r="J327" s="1709" t="s">
        <v>2781</v>
      </c>
    </row>
    <row r="328" spans="8:10">
      <c r="H328" s="1596" t="s">
        <v>2782</v>
      </c>
      <c r="I328" s="1709" t="s">
        <v>591</v>
      </c>
      <c r="J328" s="1709" t="s">
        <v>2783</v>
      </c>
    </row>
    <row r="329" spans="8:10">
      <c r="H329" s="1596" t="s">
        <v>2784</v>
      </c>
      <c r="I329" s="1709" t="s">
        <v>591</v>
      </c>
      <c r="J329" s="1709" t="s">
        <v>2785</v>
      </c>
    </row>
    <row r="330" spans="8:10">
      <c r="H330" s="1596" t="s">
        <v>2786</v>
      </c>
      <c r="I330" s="1709" t="s">
        <v>591</v>
      </c>
      <c r="J330" s="1709" t="s">
        <v>2787</v>
      </c>
    </row>
    <row r="331" spans="8:10">
      <c r="H331" s="1596" t="s">
        <v>2788</v>
      </c>
      <c r="I331" s="1709" t="s">
        <v>591</v>
      </c>
      <c r="J331" s="1709" t="s">
        <v>2789</v>
      </c>
    </row>
    <row r="332" spans="8:10">
      <c r="H332" s="1596" t="s">
        <v>2790</v>
      </c>
      <c r="I332" s="1709" t="s">
        <v>591</v>
      </c>
      <c r="J332" s="1709" t="s">
        <v>2791</v>
      </c>
    </row>
    <row r="333" spans="8:10">
      <c r="H333" s="1596" t="s">
        <v>2792</v>
      </c>
      <c r="I333" s="1709" t="s">
        <v>591</v>
      </c>
      <c r="J333" s="1709" t="s">
        <v>2793</v>
      </c>
    </row>
    <row r="334" spans="8:10">
      <c r="H334" s="1596" t="s">
        <v>2794</v>
      </c>
      <c r="I334" s="1709" t="s">
        <v>591</v>
      </c>
      <c r="J334" s="1709" t="s">
        <v>2795</v>
      </c>
    </row>
    <row r="335" spans="8:10">
      <c r="H335" s="1596" t="s">
        <v>2796</v>
      </c>
      <c r="I335" s="1709" t="s">
        <v>591</v>
      </c>
      <c r="J335" s="1709" t="s">
        <v>2797</v>
      </c>
    </row>
    <row r="336" spans="8:10">
      <c r="H336" s="1596" t="s">
        <v>2798</v>
      </c>
      <c r="I336" s="1709" t="s">
        <v>591</v>
      </c>
      <c r="J336" s="1709" t="s">
        <v>2799</v>
      </c>
    </row>
    <row r="337" spans="8:12">
      <c r="H337" s="1596" t="s">
        <v>2800</v>
      </c>
      <c r="I337" s="1709" t="s">
        <v>591</v>
      </c>
      <c r="J337" s="1709" t="s">
        <v>2801</v>
      </c>
    </row>
    <row r="338" spans="8:12">
      <c r="H338" s="1596" t="s">
        <v>2802</v>
      </c>
      <c r="I338" s="1709" t="s">
        <v>591</v>
      </c>
      <c r="J338" s="1709" t="s">
        <v>2803</v>
      </c>
    </row>
    <row r="339" spans="8:12">
      <c r="H339" s="1596" t="s">
        <v>5585</v>
      </c>
      <c r="I339" s="1709" t="s">
        <v>592</v>
      </c>
      <c r="K339" s="1709">
        <f>ROW()</f>
        <v>339</v>
      </c>
      <c r="L339" s="1709">
        <f>K339+COUNTIF($I$118:$I$1905,I339)-1</f>
        <v>372</v>
      </c>
    </row>
    <row r="340" spans="8:12">
      <c r="H340" s="1596" t="s">
        <v>1348</v>
      </c>
      <c r="I340" s="1709" t="s">
        <v>592</v>
      </c>
      <c r="J340" s="1709" t="s">
        <v>1469</v>
      </c>
    </row>
    <row r="341" spans="8:12">
      <c r="H341" s="1596" t="s">
        <v>2804</v>
      </c>
      <c r="I341" s="1709" t="s">
        <v>592</v>
      </c>
      <c r="J341" s="1709" t="s">
        <v>2805</v>
      </c>
    </row>
    <row r="342" spans="8:12">
      <c r="H342" s="1596" t="s">
        <v>2806</v>
      </c>
      <c r="I342" s="1709" t="s">
        <v>592</v>
      </c>
      <c r="J342" s="1709" t="s">
        <v>2807</v>
      </c>
    </row>
    <row r="343" spans="8:12">
      <c r="H343" s="1596" t="s">
        <v>2808</v>
      </c>
      <c r="I343" s="1709" t="s">
        <v>592</v>
      </c>
      <c r="J343" s="1709" t="s">
        <v>2809</v>
      </c>
    </row>
    <row r="344" spans="8:12">
      <c r="H344" s="1596" t="s">
        <v>2810</v>
      </c>
      <c r="I344" s="1709" t="s">
        <v>592</v>
      </c>
      <c r="J344" s="1709" t="s">
        <v>2811</v>
      </c>
    </row>
    <row r="345" spans="8:12">
      <c r="H345" s="1596" t="s">
        <v>2812</v>
      </c>
      <c r="I345" s="1709" t="s">
        <v>592</v>
      </c>
      <c r="J345" s="1709" t="s">
        <v>2813</v>
      </c>
    </row>
    <row r="346" spans="8:12">
      <c r="H346" s="1596" t="s">
        <v>2814</v>
      </c>
      <c r="I346" s="1709" t="s">
        <v>592</v>
      </c>
      <c r="J346" s="1709" t="s">
        <v>2815</v>
      </c>
    </row>
    <row r="347" spans="8:12">
      <c r="H347" s="1596" t="s">
        <v>2816</v>
      </c>
      <c r="I347" s="1709" t="s">
        <v>592</v>
      </c>
      <c r="J347" s="1709" t="s">
        <v>2817</v>
      </c>
    </row>
    <row r="348" spans="8:12">
      <c r="H348" s="1596" t="s">
        <v>2818</v>
      </c>
      <c r="I348" s="1709" t="s">
        <v>592</v>
      </c>
      <c r="J348" s="1709" t="s">
        <v>2819</v>
      </c>
    </row>
    <row r="349" spans="8:12">
      <c r="H349" s="1596" t="s">
        <v>2820</v>
      </c>
      <c r="I349" s="1709" t="s">
        <v>592</v>
      </c>
      <c r="J349" s="1709" t="s">
        <v>2821</v>
      </c>
    </row>
    <row r="350" spans="8:12">
      <c r="H350" s="1596" t="s">
        <v>2822</v>
      </c>
      <c r="I350" s="1709" t="s">
        <v>592</v>
      </c>
      <c r="J350" s="1709" t="s">
        <v>2823</v>
      </c>
    </row>
    <row r="351" spans="8:12">
      <c r="H351" s="1596" t="s">
        <v>2824</v>
      </c>
      <c r="I351" s="1709" t="s">
        <v>592</v>
      </c>
      <c r="J351" s="1709" t="s">
        <v>2825</v>
      </c>
    </row>
    <row r="352" spans="8:12">
      <c r="H352" s="1596" t="s">
        <v>2826</v>
      </c>
      <c r="I352" s="1709" t="s">
        <v>592</v>
      </c>
      <c r="J352" s="1709" t="s">
        <v>2827</v>
      </c>
    </row>
    <row r="353" spans="8:10">
      <c r="H353" s="1596" t="s">
        <v>5586</v>
      </c>
      <c r="I353" s="1709" t="s">
        <v>592</v>
      </c>
      <c r="J353" s="1709" t="s">
        <v>2828</v>
      </c>
    </row>
    <row r="354" spans="8:10">
      <c r="H354" s="1596" t="s">
        <v>2829</v>
      </c>
      <c r="I354" s="1709" t="s">
        <v>592</v>
      </c>
      <c r="J354" s="1709" t="s">
        <v>2830</v>
      </c>
    </row>
    <row r="355" spans="8:10">
      <c r="H355" s="1596" t="s">
        <v>2831</v>
      </c>
      <c r="I355" s="1709" t="s">
        <v>592</v>
      </c>
      <c r="J355" s="1709" t="s">
        <v>2832</v>
      </c>
    </row>
    <row r="356" spans="8:10">
      <c r="H356" s="1596" t="s">
        <v>2833</v>
      </c>
      <c r="I356" s="1709" t="s">
        <v>592</v>
      </c>
      <c r="J356" s="1709" t="s">
        <v>2834</v>
      </c>
    </row>
    <row r="357" spans="8:10">
      <c r="H357" s="1596" t="s">
        <v>2835</v>
      </c>
      <c r="I357" s="1709" t="s">
        <v>592</v>
      </c>
      <c r="J357" s="1709" t="s">
        <v>2836</v>
      </c>
    </row>
    <row r="358" spans="8:10">
      <c r="H358" s="1596" t="s">
        <v>2837</v>
      </c>
      <c r="I358" s="1709" t="s">
        <v>592</v>
      </c>
      <c r="J358" s="1709" t="s">
        <v>2838</v>
      </c>
    </row>
    <row r="359" spans="8:10">
      <c r="H359" s="1596" t="s">
        <v>2839</v>
      </c>
      <c r="I359" s="1709" t="s">
        <v>592</v>
      </c>
      <c r="J359" s="1709" t="s">
        <v>2840</v>
      </c>
    </row>
    <row r="360" spans="8:10">
      <c r="H360" s="1596" t="s">
        <v>2841</v>
      </c>
      <c r="I360" s="1709" t="s">
        <v>592</v>
      </c>
      <c r="J360" s="1709" t="s">
        <v>2842</v>
      </c>
    </row>
    <row r="361" spans="8:10">
      <c r="H361" s="1596" t="s">
        <v>2843</v>
      </c>
      <c r="I361" s="1709" t="s">
        <v>592</v>
      </c>
      <c r="J361" s="1709" t="s">
        <v>2844</v>
      </c>
    </row>
    <row r="362" spans="8:10">
      <c r="H362" s="1596" t="s">
        <v>2845</v>
      </c>
      <c r="I362" s="1709" t="s">
        <v>592</v>
      </c>
      <c r="J362" s="1709" t="s">
        <v>2846</v>
      </c>
    </row>
    <row r="363" spans="8:10">
      <c r="H363" s="1596" t="s">
        <v>2847</v>
      </c>
      <c r="I363" s="1709" t="s">
        <v>592</v>
      </c>
      <c r="J363" s="1709" t="s">
        <v>2848</v>
      </c>
    </row>
    <row r="364" spans="8:10">
      <c r="H364" s="1596" t="s">
        <v>2849</v>
      </c>
      <c r="I364" s="1709" t="s">
        <v>592</v>
      </c>
      <c r="J364" s="1709" t="s">
        <v>2850</v>
      </c>
    </row>
    <row r="365" spans="8:10">
      <c r="H365" s="1596" t="s">
        <v>2851</v>
      </c>
      <c r="I365" s="1709" t="s">
        <v>592</v>
      </c>
      <c r="J365" s="1709" t="s">
        <v>2852</v>
      </c>
    </row>
    <row r="366" spans="8:10">
      <c r="H366" s="1596" t="s">
        <v>2853</v>
      </c>
      <c r="I366" s="1709" t="s">
        <v>592</v>
      </c>
      <c r="J366" s="1709" t="s">
        <v>2854</v>
      </c>
    </row>
    <row r="367" spans="8:10">
      <c r="H367" s="1596" t="s">
        <v>2855</v>
      </c>
      <c r="I367" s="1709" t="s">
        <v>592</v>
      </c>
      <c r="J367" s="1709" t="s">
        <v>2856</v>
      </c>
    </row>
    <row r="368" spans="8:10">
      <c r="H368" s="1596" t="s">
        <v>2857</v>
      </c>
      <c r="I368" s="1709" t="s">
        <v>592</v>
      </c>
      <c r="J368" s="1709" t="s">
        <v>2858</v>
      </c>
    </row>
    <row r="369" spans="8:12">
      <c r="H369" s="1596" t="s">
        <v>2859</v>
      </c>
      <c r="I369" s="1709" t="s">
        <v>592</v>
      </c>
      <c r="J369" s="1709" t="s">
        <v>2860</v>
      </c>
    </row>
    <row r="370" spans="8:12">
      <c r="H370" s="1596" t="s">
        <v>2861</v>
      </c>
      <c r="I370" s="1709" t="s">
        <v>592</v>
      </c>
      <c r="J370" s="1709" t="s">
        <v>2862</v>
      </c>
    </row>
    <row r="371" spans="8:12">
      <c r="H371" s="1596" t="s">
        <v>2863</v>
      </c>
      <c r="I371" s="1709" t="s">
        <v>592</v>
      </c>
      <c r="J371" s="1709" t="s">
        <v>2864</v>
      </c>
    </row>
    <row r="372" spans="8:12">
      <c r="H372" s="1596" t="s">
        <v>2865</v>
      </c>
      <c r="I372" s="1709" t="s">
        <v>592</v>
      </c>
      <c r="J372" s="1709" t="s">
        <v>2866</v>
      </c>
    </row>
    <row r="373" spans="8:12">
      <c r="H373" s="1596" t="s">
        <v>5587</v>
      </c>
      <c r="I373" s="1709" t="s">
        <v>2867</v>
      </c>
      <c r="K373" s="1709">
        <f>ROW()</f>
        <v>373</v>
      </c>
      <c r="L373" s="1709">
        <f>K373+COUNTIF($I$118:$I$1905,I373)-1</f>
        <v>408</v>
      </c>
    </row>
    <row r="374" spans="8:12">
      <c r="H374" s="1596" t="s">
        <v>1335</v>
      </c>
      <c r="I374" s="1709" t="s">
        <v>2867</v>
      </c>
      <c r="J374" s="1709" t="s">
        <v>1456</v>
      </c>
    </row>
    <row r="375" spans="8:12">
      <c r="H375" s="1596" t="s">
        <v>2868</v>
      </c>
      <c r="I375" s="1709" t="s">
        <v>2867</v>
      </c>
      <c r="J375" s="1709" t="s">
        <v>2869</v>
      </c>
    </row>
    <row r="376" spans="8:12">
      <c r="H376" s="1596" t="s">
        <v>2870</v>
      </c>
      <c r="I376" s="1709" t="s">
        <v>2867</v>
      </c>
      <c r="J376" s="1709" t="s">
        <v>2871</v>
      </c>
    </row>
    <row r="377" spans="8:12">
      <c r="H377" s="1596" t="s">
        <v>2872</v>
      </c>
      <c r="I377" s="1709" t="s">
        <v>2867</v>
      </c>
      <c r="J377" s="1709" t="s">
        <v>2873</v>
      </c>
    </row>
    <row r="378" spans="8:12">
      <c r="H378" s="1596" t="s">
        <v>2874</v>
      </c>
      <c r="I378" s="1709" t="s">
        <v>2867</v>
      </c>
      <c r="J378" s="1709" t="s">
        <v>2875</v>
      </c>
    </row>
    <row r="379" spans="8:12">
      <c r="H379" s="1596" t="s">
        <v>2876</v>
      </c>
      <c r="I379" s="1709" t="s">
        <v>2867</v>
      </c>
      <c r="J379" s="1709" t="s">
        <v>2877</v>
      </c>
    </row>
    <row r="380" spans="8:12">
      <c r="H380" s="1596" t="s">
        <v>2878</v>
      </c>
      <c r="I380" s="1709" t="s">
        <v>2867</v>
      </c>
      <c r="J380" s="1709" t="s">
        <v>2879</v>
      </c>
    </row>
    <row r="381" spans="8:12">
      <c r="H381" s="1596" t="s">
        <v>2880</v>
      </c>
      <c r="I381" s="1709" t="s">
        <v>2867</v>
      </c>
      <c r="J381" s="1709" t="s">
        <v>2881</v>
      </c>
    </row>
    <row r="382" spans="8:12">
      <c r="H382" s="1596" t="s">
        <v>2882</v>
      </c>
      <c r="I382" s="1709" t="s">
        <v>2867</v>
      </c>
      <c r="J382" s="1709" t="s">
        <v>2883</v>
      </c>
    </row>
    <row r="383" spans="8:12">
      <c r="H383" s="1596" t="s">
        <v>2884</v>
      </c>
      <c r="I383" s="1709" t="s">
        <v>2867</v>
      </c>
      <c r="J383" s="1709" t="s">
        <v>2885</v>
      </c>
    </row>
    <row r="384" spans="8:12">
      <c r="H384" s="1596" t="s">
        <v>2886</v>
      </c>
      <c r="I384" s="1709" t="s">
        <v>2867</v>
      </c>
      <c r="J384" s="1709" t="s">
        <v>2887</v>
      </c>
    </row>
    <row r="385" spans="8:10">
      <c r="H385" s="1596" t="s">
        <v>2888</v>
      </c>
      <c r="I385" s="1709" t="s">
        <v>2867</v>
      </c>
      <c r="J385" s="1709" t="s">
        <v>2889</v>
      </c>
    </row>
    <row r="386" spans="8:10">
      <c r="H386" s="1596" t="s">
        <v>2890</v>
      </c>
      <c r="I386" s="1709" t="s">
        <v>2867</v>
      </c>
      <c r="J386" s="1709" t="s">
        <v>2891</v>
      </c>
    </row>
    <row r="387" spans="8:10">
      <c r="H387" s="1596" t="s">
        <v>5588</v>
      </c>
      <c r="I387" s="1709" t="s">
        <v>2867</v>
      </c>
      <c r="J387" s="1709" t="s">
        <v>2892</v>
      </c>
    </row>
    <row r="388" spans="8:10">
      <c r="H388" s="1596" t="s">
        <v>2893</v>
      </c>
      <c r="I388" s="1709" t="s">
        <v>2867</v>
      </c>
      <c r="J388" s="1709" t="s">
        <v>2894</v>
      </c>
    </row>
    <row r="389" spans="8:10">
      <c r="H389" s="1596" t="s">
        <v>2895</v>
      </c>
      <c r="I389" s="1709" t="s">
        <v>2867</v>
      </c>
      <c r="J389" s="1709" t="s">
        <v>2896</v>
      </c>
    </row>
    <row r="390" spans="8:10">
      <c r="H390" s="1596" t="s">
        <v>2897</v>
      </c>
      <c r="I390" s="1709" t="s">
        <v>2867</v>
      </c>
      <c r="J390" s="1709" t="s">
        <v>2898</v>
      </c>
    </row>
    <row r="391" spans="8:10">
      <c r="H391" s="1596" t="s">
        <v>2899</v>
      </c>
      <c r="I391" s="1709" t="s">
        <v>2867</v>
      </c>
      <c r="J391" s="1709" t="s">
        <v>2900</v>
      </c>
    </row>
    <row r="392" spans="8:10">
      <c r="H392" s="1596" t="s">
        <v>2901</v>
      </c>
      <c r="I392" s="1709" t="s">
        <v>2867</v>
      </c>
      <c r="J392" s="1709" t="s">
        <v>2902</v>
      </c>
    </row>
    <row r="393" spans="8:10">
      <c r="H393" s="1596" t="s">
        <v>2903</v>
      </c>
      <c r="I393" s="1709" t="s">
        <v>2867</v>
      </c>
      <c r="J393" s="1709" t="s">
        <v>2904</v>
      </c>
    </row>
    <row r="394" spans="8:10">
      <c r="H394" s="1596" t="s">
        <v>2905</v>
      </c>
      <c r="I394" s="1709" t="s">
        <v>2867</v>
      </c>
      <c r="J394" s="1709" t="s">
        <v>2906</v>
      </c>
    </row>
    <row r="395" spans="8:10">
      <c r="H395" s="1596" t="s">
        <v>2907</v>
      </c>
      <c r="I395" s="1709" t="s">
        <v>2867</v>
      </c>
      <c r="J395" s="1709" t="s">
        <v>2908</v>
      </c>
    </row>
    <row r="396" spans="8:10">
      <c r="H396" s="1596" t="s">
        <v>2909</v>
      </c>
      <c r="I396" s="1709" t="s">
        <v>2867</v>
      </c>
      <c r="J396" s="1709" t="s">
        <v>2910</v>
      </c>
    </row>
    <row r="397" spans="8:10">
      <c r="H397" s="1596" t="s">
        <v>2911</v>
      </c>
      <c r="I397" s="1709" t="s">
        <v>2867</v>
      </c>
      <c r="J397" s="1709" t="s">
        <v>2912</v>
      </c>
    </row>
    <row r="398" spans="8:10">
      <c r="H398" s="1596" t="s">
        <v>2913</v>
      </c>
      <c r="I398" s="1709" t="s">
        <v>2867</v>
      </c>
      <c r="J398" s="1709" t="s">
        <v>2914</v>
      </c>
    </row>
    <row r="399" spans="8:10">
      <c r="H399" s="1596" t="s">
        <v>2915</v>
      </c>
      <c r="I399" s="1709" t="s">
        <v>2867</v>
      </c>
      <c r="J399" s="1709" t="s">
        <v>2916</v>
      </c>
    </row>
    <row r="400" spans="8:10">
      <c r="H400" s="1596" t="s">
        <v>2917</v>
      </c>
      <c r="I400" s="1709" t="s">
        <v>2867</v>
      </c>
      <c r="J400" s="1709" t="s">
        <v>2918</v>
      </c>
    </row>
    <row r="401" spans="8:12">
      <c r="H401" s="1596" t="s">
        <v>2919</v>
      </c>
      <c r="I401" s="1709" t="s">
        <v>2867</v>
      </c>
      <c r="J401" s="1709" t="s">
        <v>2920</v>
      </c>
    </row>
    <row r="402" spans="8:12">
      <c r="H402" s="1596" t="s">
        <v>2921</v>
      </c>
      <c r="I402" s="1709" t="s">
        <v>2867</v>
      </c>
      <c r="J402" s="1709" t="s">
        <v>2922</v>
      </c>
    </row>
    <row r="403" spans="8:12">
      <c r="H403" s="1596" t="s">
        <v>2923</v>
      </c>
      <c r="I403" s="1709" t="s">
        <v>2867</v>
      </c>
      <c r="J403" s="1709" t="s">
        <v>2924</v>
      </c>
    </row>
    <row r="404" spans="8:12">
      <c r="H404" s="1596" t="s">
        <v>2925</v>
      </c>
      <c r="I404" s="1709" t="s">
        <v>2867</v>
      </c>
      <c r="J404" s="1709" t="s">
        <v>2926</v>
      </c>
    </row>
    <row r="405" spans="8:12">
      <c r="H405" s="1596" t="s">
        <v>2927</v>
      </c>
      <c r="I405" s="1709" t="s">
        <v>2867</v>
      </c>
      <c r="J405" s="1709" t="s">
        <v>2928</v>
      </c>
    </row>
    <row r="406" spans="8:12">
      <c r="H406" s="1596" t="s">
        <v>2929</v>
      </c>
      <c r="I406" s="1709" t="s">
        <v>2867</v>
      </c>
      <c r="J406" s="1709" t="s">
        <v>2930</v>
      </c>
    </row>
    <row r="407" spans="8:12">
      <c r="H407" s="1596" t="s">
        <v>2931</v>
      </c>
      <c r="I407" s="1709" t="s">
        <v>2867</v>
      </c>
      <c r="J407" s="1709" t="s">
        <v>2932</v>
      </c>
    </row>
    <row r="408" spans="8:12">
      <c r="H408" s="1596" t="s">
        <v>2933</v>
      </c>
      <c r="I408" s="1709" t="s">
        <v>2867</v>
      </c>
      <c r="J408" s="1709" t="s">
        <v>2934</v>
      </c>
    </row>
    <row r="409" spans="8:12">
      <c r="H409" s="1596" t="s">
        <v>5589</v>
      </c>
      <c r="I409" s="1709" t="s">
        <v>593</v>
      </c>
      <c r="K409" s="1709">
        <f>ROW()</f>
        <v>409</v>
      </c>
      <c r="L409" s="1709">
        <f>K409+COUNTIF($I$118:$I$1905,I409)-1</f>
        <v>434</v>
      </c>
    </row>
    <row r="410" spans="8:12">
      <c r="H410" s="1596" t="s">
        <v>1349</v>
      </c>
      <c r="I410" s="1709" t="s">
        <v>593</v>
      </c>
      <c r="J410" s="1709" t="s">
        <v>1470</v>
      </c>
    </row>
    <row r="411" spans="8:12">
      <c r="H411" s="1596" t="s">
        <v>2935</v>
      </c>
      <c r="I411" s="1709" t="s">
        <v>593</v>
      </c>
      <c r="J411" s="1709" t="s">
        <v>2936</v>
      </c>
    </row>
    <row r="412" spans="8:12">
      <c r="H412" s="1596" t="s">
        <v>2937</v>
      </c>
      <c r="I412" s="1709" t="s">
        <v>593</v>
      </c>
      <c r="J412" s="1709" t="s">
        <v>2938</v>
      </c>
    </row>
    <row r="413" spans="8:12">
      <c r="H413" s="1596" t="s">
        <v>2939</v>
      </c>
      <c r="I413" s="1709" t="s">
        <v>593</v>
      </c>
      <c r="J413" s="1709" t="s">
        <v>2940</v>
      </c>
    </row>
    <row r="414" spans="8:12">
      <c r="H414" s="1596" t="s">
        <v>2941</v>
      </c>
      <c r="I414" s="1709" t="s">
        <v>593</v>
      </c>
      <c r="J414" s="1709" t="s">
        <v>2942</v>
      </c>
    </row>
    <row r="415" spans="8:12">
      <c r="H415" s="1596" t="s">
        <v>2943</v>
      </c>
      <c r="I415" s="1709" t="s">
        <v>593</v>
      </c>
      <c r="J415" s="1709" t="s">
        <v>2944</v>
      </c>
    </row>
    <row r="416" spans="8:12">
      <c r="H416" s="1596" t="s">
        <v>2945</v>
      </c>
      <c r="I416" s="1709" t="s">
        <v>593</v>
      </c>
      <c r="J416" s="1709" t="s">
        <v>2946</v>
      </c>
    </row>
    <row r="417" spans="8:10">
      <c r="H417" s="1596" t="s">
        <v>2947</v>
      </c>
      <c r="I417" s="1709" t="s">
        <v>593</v>
      </c>
      <c r="J417" s="1709" t="s">
        <v>2948</v>
      </c>
    </row>
    <row r="418" spans="8:10">
      <c r="H418" s="1596" t="s">
        <v>2949</v>
      </c>
      <c r="I418" s="1709" t="s">
        <v>593</v>
      </c>
      <c r="J418" s="1709" t="s">
        <v>2950</v>
      </c>
    </row>
    <row r="419" spans="8:10">
      <c r="H419" s="1596" t="s">
        <v>2951</v>
      </c>
      <c r="I419" s="1709" t="s">
        <v>593</v>
      </c>
      <c r="J419" s="1709" t="s">
        <v>2952</v>
      </c>
    </row>
    <row r="420" spans="8:10">
      <c r="H420" s="1596" t="s">
        <v>2953</v>
      </c>
      <c r="I420" s="1709" t="s">
        <v>593</v>
      </c>
      <c r="J420" s="1709" t="s">
        <v>2954</v>
      </c>
    </row>
    <row r="421" spans="8:10">
      <c r="H421" s="1596" t="s">
        <v>2955</v>
      </c>
      <c r="I421" s="1709" t="s">
        <v>593</v>
      </c>
      <c r="J421" s="1709" t="s">
        <v>2956</v>
      </c>
    </row>
    <row r="422" spans="8:10">
      <c r="H422" s="1596" t="s">
        <v>2957</v>
      </c>
      <c r="I422" s="1709" t="s">
        <v>593</v>
      </c>
      <c r="J422" s="1709" t="s">
        <v>2958</v>
      </c>
    </row>
    <row r="423" spans="8:10">
      <c r="H423" s="1596" t="s">
        <v>2959</v>
      </c>
      <c r="I423" s="1709" t="s">
        <v>593</v>
      </c>
      <c r="J423" s="1709" t="s">
        <v>2960</v>
      </c>
    </row>
    <row r="424" spans="8:10">
      <c r="H424" s="1596" t="s">
        <v>2961</v>
      </c>
      <c r="I424" s="1709" t="s">
        <v>593</v>
      </c>
      <c r="J424" s="1709" t="s">
        <v>2962</v>
      </c>
    </row>
    <row r="425" spans="8:10">
      <c r="H425" s="1596" t="s">
        <v>2963</v>
      </c>
      <c r="I425" s="1709" t="s">
        <v>593</v>
      </c>
      <c r="J425" s="1709" t="s">
        <v>2964</v>
      </c>
    </row>
    <row r="426" spans="8:10">
      <c r="H426" s="1596" t="s">
        <v>2965</v>
      </c>
      <c r="I426" s="1709" t="s">
        <v>593</v>
      </c>
      <c r="J426" s="1709" t="s">
        <v>2966</v>
      </c>
    </row>
    <row r="427" spans="8:10">
      <c r="H427" s="1596" t="s">
        <v>2967</v>
      </c>
      <c r="I427" s="1709" t="s">
        <v>593</v>
      </c>
      <c r="J427" s="1709" t="s">
        <v>2968</v>
      </c>
    </row>
    <row r="428" spans="8:10">
      <c r="H428" s="1596" t="s">
        <v>2969</v>
      </c>
      <c r="I428" s="1709" t="s">
        <v>593</v>
      </c>
      <c r="J428" s="1709" t="s">
        <v>2970</v>
      </c>
    </row>
    <row r="429" spans="8:10">
      <c r="H429" s="1596" t="s">
        <v>2971</v>
      </c>
      <c r="I429" s="1709" t="s">
        <v>593</v>
      </c>
      <c r="J429" s="1709" t="s">
        <v>2972</v>
      </c>
    </row>
    <row r="430" spans="8:10">
      <c r="H430" s="1596" t="s">
        <v>2973</v>
      </c>
      <c r="I430" s="1709" t="s">
        <v>593</v>
      </c>
      <c r="J430" s="1709" t="s">
        <v>2974</v>
      </c>
    </row>
    <row r="431" spans="8:10">
      <c r="H431" s="1596" t="s">
        <v>2975</v>
      </c>
      <c r="I431" s="1709" t="s">
        <v>593</v>
      </c>
      <c r="J431" s="1709" t="s">
        <v>2976</v>
      </c>
    </row>
    <row r="432" spans="8:10">
      <c r="H432" s="1596" t="s">
        <v>2977</v>
      </c>
      <c r="I432" s="1709" t="s">
        <v>593</v>
      </c>
      <c r="J432" s="1709" t="s">
        <v>2978</v>
      </c>
    </row>
    <row r="433" spans="8:12">
      <c r="H433" s="1596" t="s">
        <v>2979</v>
      </c>
      <c r="I433" s="1709" t="s">
        <v>593</v>
      </c>
      <c r="J433" s="1709" t="s">
        <v>2980</v>
      </c>
    </row>
    <row r="434" spans="8:12">
      <c r="H434" s="1596" t="s">
        <v>2981</v>
      </c>
      <c r="I434" s="1709" t="s">
        <v>593</v>
      </c>
      <c r="J434" s="1709" t="s">
        <v>2982</v>
      </c>
    </row>
    <row r="435" spans="8:12">
      <c r="H435" s="1596" t="s">
        <v>5590</v>
      </c>
      <c r="I435" s="1709" t="s">
        <v>622</v>
      </c>
      <c r="K435" s="1709">
        <f>ROW()</f>
        <v>435</v>
      </c>
      <c r="L435" s="1709">
        <f>K435+COUNTIF($I$118:$I$1905,I435)-1</f>
        <v>470</v>
      </c>
    </row>
    <row r="436" spans="8:12">
      <c r="H436" s="1596" t="s">
        <v>1390</v>
      </c>
      <c r="I436" s="1709" t="s">
        <v>622</v>
      </c>
      <c r="J436" s="1709" t="s">
        <v>1510</v>
      </c>
    </row>
    <row r="437" spans="8:12">
      <c r="H437" s="1596" t="s">
        <v>2983</v>
      </c>
      <c r="I437" s="1709" t="s">
        <v>622</v>
      </c>
      <c r="J437" s="1709" t="s">
        <v>2984</v>
      </c>
    </row>
    <row r="438" spans="8:12">
      <c r="H438" s="1596" t="s">
        <v>2985</v>
      </c>
      <c r="I438" s="1709" t="s">
        <v>622</v>
      </c>
      <c r="J438" s="1709" t="s">
        <v>2986</v>
      </c>
    </row>
    <row r="439" spans="8:12">
      <c r="H439" s="1596" t="s">
        <v>2987</v>
      </c>
      <c r="I439" s="1709" t="s">
        <v>622</v>
      </c>
      <c r="J439" s="1709" t="s">
        <v>2988</v>
      </c>
    </row>
    <row r="440" spans="8:12">
      <c r="H440" s="1596" t="s">
        <v>2989</v>
      </c>
      <c r="I440" s="1709" t="s">
        <v>622</v>
      </c>
      <c r="J440" s="1709" t="s">
        <v>2990</v>
      </c>
    </row>
    <row r="441" spans="8:12">
      <c r="H441" s="1596" t="s">
        <v>2991</v>
      </c>
      <c r="I441" s="1709" t="s">
        <v>622</v>
      </c>
      <c r="J441" s="1709" t="s">
        <v>2992</v>
      </c>
    </row>
    <row r="442" spans="8:12">
      <c r="H442" s="1596" t="s">
        <v>2993</v>
      </c>
      <c r="I442" s="1709" t="s">
        <v>622</v>
      </c>
      <c r="J442" s="1709" t="s">
        <v>2994</v>
      </c>
    </row>
    <row r="443" spans="8:12">
      <c r="H443" s="1596" t="s">
        <v>2995</v>
      </c>
      <c r="I443" s="1709" t="s">
        <v>622</v>
      </c>
      <c r="J443" s="1709" t="s">
        <v>2996</v>
      </c>
    </row>
    <row r="444" spans="8:12">
      <c r="H444" s="1596" t="s">
        <v>2997</v>
      </c>
      <c r="I444" s="1709" t="s">
        <v>622</v>
      </c>
      <c r="J444" s="1709" t="s">
        <v>2998</v>
      </c>
    </row>
    <row r="445" spans="8:12">
      <c r="H445" s="1596" t="s">
        <v>2999</v>
      </c>
      <c r="I445" s="1709" t="s">
        <v>622</v>
      </c>
      <c r="J445" s="1709" t="s">
        <v>3000</v>
      </c>
    </row>
    <row r="446" spans="8:12">
      <c r="H446" s="1596" t="s">
        <v>3001</v>
      </c>
      <c r="I446" s="1709" t="s">
        <v>622</v>
      </c>
      <c r="J446" s="1709" t="s">
        <v>3002</v>
      </c>
    </row>
    <row r="447" spans="8:12">
      <c r="H447" s="1596" t="s">
        <v>3003</v>
      </c>
      <c r="I447" s="1709" t="s">
        <v>622</v>
      </c>
      <c r="J447" s="1709" t="s">
        <v>3004</v>
      </c>
    </row>
    <row r="448" spans="8:12">
      <c r="H448" s="1596" t="s">
        <v>3005</v>
      </c>
      <c r="I448" s="1709" t="s">
        <v>622</v>
      </c>
      <c r="J448" s="1709" t="s">
        <v>3006</v>
      </c>
    </row>
    <row r="449" spans="8:10">
      <c r="H449" s="1596" t="s">
        <v>3007</v>
      </c>
      <c r="I449" s="1709" t="s">
        <v>622</v>
      </c>
      <c r="J449" s="1709" t="s">
        <v>3008</v>
      </c>
    </row>
    <row r="450" spans="8:10">
      <c r="H450" s="1596" t="s">
        <v>3009</v>
      </c>
      <c r="I450" s="1709" t="s">
        <v>622</v>
      </c>
      <c r="J450" s="1709" t="s">
        <v>3010</v>
      </c>
    </row>
    <row r="451" spans="8:10">
      <c r="H451" s="1596" t="s">
        <v>3011</v>
      </c>
      <c r="I451" s="1709" t="s">
        <v>622</v>
      </c>
      <c r="J451" s="1709" t="s">
        <v>3012</v>
      </c>
    </row>
    <row r="452" spans="8:10">
      <c r="H452" s="1596" t="s">
        <v>3013</v>
      </c>
      <c r="I452" s="1709" t="s">
        <v>622</v>
      </c>
      <c r="J452" s="1709" t="s">
        <v>3014</v>
      </c>
    </row>
    <row r="453" spans="8:10">
      <c r="H453" s="1596" t="s">
        <v>3015</v>
      </c>
      <c r="I453" s="1709" t="s">
        <v>622</v>
      </c>
      <c r="J453" s="1709" t="s">
        <v>3016</v>
      </c>
    </row>
    <row r="454" spans="8:10">
      <c r="H454" s="1596" t="s">
        <v>3017</v>
      </c>
      <c r="I454" s="1709" t="s">
        <v>622</v>
      </c>
      <c r="J454" s="1709" t="s">
        <v>3018</v>
      </c>
    </row>
    <row r="455" spans="8:10">
      <c r="H455" s="1596" t="s">
        <v>3019</v>
      </c>
      <c r="I455" s="1709" t="s">
        <v>622</v>
      </c>
      <c r="J455" s="1709" t="s">
        <v>3020</v>
      </c>
    </row>
    <row r="456" spans="8:10">
      <c r="H456" s="1596" t="s">
        <v>3021</v>
      </c>
      <c r="I456" s="1709" t="s">
        <v>622</v>
      </c>
      <c r="J456" s="1709" t="s">
        <v>3022</v>
      </c>
    </row>
    <row r="457" spans="8:10">
      <c r="H457" s="1596" t="s">
        <v>3023</v>
      </c>
      <c r="I457" s="1709" t="s">
        <v>622</v>
      </c>
      <c r="J457" s="1709" t="s">
        <v>3024</v>
      </c>
    </row>
    <row r="458" spans="8:10">
      <c r="H458" s="1596" t="s">
        <v>3025</v>
      </c>
      <c r="I458" s="1709" t="s">
        <v>622</v>
      </c>
      <c r="J458" s="1709" t="s">
        <v>3026</v>
      </c>
    </row>
    <row r="459" spans="8:10">
      <c r="H459" s="1596" t="s">
        <v>3027</v>
      </c>
      <c r="I459" s="1709" t="s">
        <v>622</v>
      </c>
      <c r="J459" s="1709" t="s">
        <v>3028</v>
      </c>
    </row>
    <row r="460" spans="8:10">
      <c r="H460" s="1596" t="s">
        <v>3029</v>
      </c>
      <c r="I460" s="1709" t="s">
        <v>622</v>
      </c>
      <c r="J460" s="1709" t="s">
        <v>3030</v>
      </c>
    </row>
    <row r="461" spans="8:10">
      <c r="H461" s="1596" t="s">
        <v>3031</v>
      </c>
      <c r="I461" s="1709" t="s">
        <v>622</v>
      </c>
      <c r="J461" s="1709" t="s">
        <v>3032</v>
      </c>
    </row>
    <row r="462" spans="8:10">
      <c r="H462" s="1596" t="s">
        <v>3033</v>
      </c>
      <c r="I462" s="1709" t="s">
        <v>622</v>
      </c>
      <c r="J462" s="1709" t="s">
        <v>3034</v>
      </c>
    </row>
    <row r="463" spans="8:10">
      <c r="H463" s="1596" t="s">
        <v>3035</v>
      </c>
      <c r="I463" s="1709" t="s">
        <v>622</v>
      </c>
      <c r="J463" s="1709" t="s">
        <v>3036</v>
      </c>
    </row>
    <row r="464" spans="8:10">
      <c r="H464" s="1596" t="s">
        <v>3037</v>
      </c>
      <c r="I464" s="1709" t="s">
        <v>622</v>
      </c>
      <c r="J464" s="1709" t="s">
        <v>3038</v>
      </c>
    </row>
    <row r="465" spans="8:12">
      <c r="H465" s="1596" t="s">
        <v>3039</v>
      </c>
      <c r="I465" s="1709" t="s">
        <v>622</v>
      </c>
      <c r="J465" s="1709" t="s">
        <v>3040</v>
      </c>
    </row>
    <row r="466" spans="8:12">
      <c r="H466" s="1596" t="s">
        <v>3041</v>
      </c>
      <c r="I466" s="1709" t="s">
        <v>622</v>
      </c>
      <c r="J466" s="1709" t="s">
        <v>3042</v>
      </c>
    </row>
    <row r="467" spans="8:12">
      <c r="H467" s="1596" t="s">
        <v>3043</v>
      </c>
      <c r="I467" s="1709" t="s">
        <v>622</v>
      </c>
      <c r="J467" s="1709" t="s">
        <v>3044</v>
      </c>
    </row>
    <row r="468" spans="8:12">
      <c r="H468" s="1596" t="s">
        <v>3045</v>
      </c>
      <c r="I468" s="1709" t="s">
        <v>622</v>
      </c>
      <c r="J468" s="1709" t="s">
        <v>3046</v>
      </c>
    </row>
    <row r="469" spans="8:12">
      <c r="H469" s="1596" t="s">
        <v>3047</v>
      </c>
      <c r="I469" s="1709" t="s">
        <v>622</v>
      </c>
      <c r="J469" s="1709" t="s">
        <v>3048</v>
      </c>
    </row>
    <row r="470" spans="8:12">
      <c r="H470" s="1596" t="s">
        <v>3049</v>
      </c>
      <c r="I470" s="1709" t="s">
        <v>622</v>
      </c>
      <c r="J470" s="1709" t="s">
        <v>3050</v>
      </c>
    </row>
    <row r="471" spans="8:12">
      <c r="H471" s="1596" t="s">
        <v>5591</v>
      </c>
      <c r="I471" s="1709" t="s">
        <v>594</v>
      </c>
      <c r="K471" s="1709">
        <f>ROW()</f>
        <v>471</v>
      </c>
      <c r="L471" s="1709">
        <f>K471+COUNTIF($I$118:$I$1905,I471)-1</f>
        <v>530</v>
      </c>
    </row>
    <row r="472" spans="8:12">
      <c r="H472" s="1596" t="s">
        <v>2085</v>
      </c>
      <c r="I472" s="1709" t="s">
        <v>594</v>
      </c>
      <c r="J472" s="1709" t="s">
        <v>3051</v>
      </c>
    </row>
    <row r="473" spans="8:12">
      <c r="H473" s="1596" t="s">
        <v>3052</v>
      </c>
      <c r="I473" s="1709" t="s">
        <v>594</v>
      </c>
      <c r="J473" s="1709" t="s">
        <v>3053</v>
      </c>
    </row>
    <row r="474" spans="8:12">
      <c r="H474" s="1596" t="s">
        <v>1350</v>
      </c>
      <c r="I474" s="1709" t="s">
        <v>594</v>
      </c>
      <c r="J474" s="1709" t="s">
        <v>1471</v>
      </c>
    </row>
    <row r="475" spans="8:12">
      <c r="H475" s="1596" t="s">
        <v>1351</v>
      </c>
      <c r="I475" s="1709" t="s">
        <v>594</v>
      </c>
      <c r="J475" s="1709" t="s">
        <v>1472</v>
      </c>
    </row>
    <row r="476" spans="8:12">
      <c r="H476" s="1596" t="s">
        <v>3054</v>
      </c>
      <c r="I476" s="1709" t="s">
        <v>594</v>
      </c>
      <c r="J476" s="1709" t="s">
        <v>3055</v>
      </c>
    </row>
    <row r="477" spans="8:12">
      <c r="H477" s="1596" t="s">
        <v>3056</v>
      </c>
      <c r="I477" s="1709" t="s">
        <v>594</v>
      </c>
      <c r="J477" s="1709" t="s">
        <v>3057</v>
      </c>
    </row>
    <row r="478" spans="8:12">
      <c r="H478" s="1596" t="s">
        <v>3058</v>
      </c>
      <c r="I478" s="1709" t="s">
        <v>594</v>
      </c>
      <c r="J478" s="1709" t="s">
        <v>3059</v>
      </c>
    </row>
    <row r="479" spans="8:12">
      <c r="H479" s="1596" t="s">
        <v>3060</v>
      </c>
      <c r="I479" s="1709" t="s">
        <v>594</v>
      </c>
      <c r="J479" s="1709" t="s">
        <v>3061</v>
      </c>
    </row>
    <row r="480" spans="8:12">
      <c r="H480" s="1596" t="s">
        <v>3062</v>
      </c>
      <c r="I480" s="1709" t="s">
        <v>594</v>
      </c>
      <c r="J480" s="1709" t="s">
        <v>3063</v>
      </c>
    </row>
    <row r="481" spans="8:10">
      <c r="H481" s="1596" t="s">
        <v>3064</v>
      </c>
      <c r="I481" s="1709" t="s">
        <v>594</v>
      </c>
      <c r="J481" s="1709" t="s">
        <v>3065</v>
      </c>
    </row>
    <row r="482" spans="8:10">
      <c r="H482" s="1596" t="s">
        <v>3066</v>
      </c>
      <c r="I482" s="1709" t="s">
        <v>594</v>
      </c>
      <c r="J482" s="1709" t="s">
        <v>3067</v>
      </c>
    </row>
    <row r="483" spans="8:10">
      <c r="H483" s="1596" t="s">
        <v>3068</v>
      </c>
      <c r="I483" s="1709" t="s">
        <v>594</v>
      </c>
      <c r="J483" s="1709" t="s">
        <v>2434</v>
      </c>
    </row>
    <row r="484" spans="8:10">
      <c r="H484" s="1596" t="s">
        <v>3069</v>
      </c>
      <c r="I484" s="1709" t="s">
        <v>594</v>
      </c>
      <c r="J484" s="1709" t="s">
        <v>3070</v>
      </c>
    </row>
    <row r="485" spans="8:10">
      <c r="H485" s="1596" t="s">
        <v>3071</v>
      </c>
      <c r="I485" s="1709" t="s">
        <v>594</v>
      </c>
      <c r="J485" s="1709" t="s">
        <v>3072</v>
      </c>
    </row>
    <row r="486" spans="8:10">
      <c r="H486" s="1596" t="s">
        <v>3073</v>
      </c>
      <c r="I486" s="1709" t="s">
        <v>594</v>
      </c>
      <c r="J486" s="1709" t="s">
        <v>3074</v>
      </c>
    </row>
    <row r="487" spans="8:10">
      <c r="H487" s="1596" t="s">
        <v>3075</v>
      </c>
      <c r="I487" s="1709" t="s">
        <v>594</v>
      </c>
      <c r="J487" s="1709" t="s">
        <v>3076</v>
      </c>
    </row>
    <row r="488" spans="8:10">
      <c r="H488" s="1596" t="s">
        <v>3077</v>
      </c>
      <c r="I488" s="1709" t="s">
        <v>594</v>
      </c>
      <c r="J488" s="1709" t="s">
        <v>3078</v>
      </c>
    </row>
    <row r="489" spans="8:10">
      <c r="H489" s="1596" t="s">
        <v>3079</v>
      </c>
      <c r="I489" s="1709" t="s">
        <v>594</v>
      </c>
      <c r="J489" s="1709" t="s">
        <v>3080</v>
      </c>
    </row>
    <row r="490" spans="8:10">
      <c r="H490" s="1596" t="s">
        <v>3081</v>
      </c>
      <c r="I490" s="1709" t="s">
        <v>594</v>
      </c>
      <c r="J490" s="1709" t="s">
        <v>3082</v>
      </c>
    </row>
    <row r="491" spans="8:10">
      <c r="H491" s="1596" t="s">
        <v>3083</v>
      </c>
      <c r="I491" s="1709" t="s">
        <v>594</v>
      </c>
      <c r="J491" s="1709" t="s">
        <v>3084</v>
      </c>
    </row>
    <row r="492" spans="8:10">
      <c r="H492" s="1596" t="s">
        <v>3085</v>
      </c>
      <c r="I492" s="1709" t="s">
        <v>594</v>
      </c>
      <c r="J492" s="1709" t="s">
        <v>3086</v>
      </c>
    </row>
    <row r="493" spans="8:10">
      <c r="H493" s="1596" t="s">
        <v>3087</v>
      </c>
      <c r="I493" s="1709" t="s">
        <v>594</v>
      </c>
      <c r="J493" s="1709" t="s">
        <v>3088</v>
      </c>
    </row>
    <row r="494" spans="8:10">
      <c r="H494" s="1596" t="s">
        <v>3089</v>
      </c>
      <c r="I494" s="1709" t="s">
        <v>594</v>
      </c>
      <c r="J494" s="1709" t="s">
        <v>3090</v>
      </c>
    </row>
    <row r="495" spans="8:10">
      <c r="H495" s="1596" t="s">
        <v>3091</v>
      </c>
      <c r="I495" s="1709" t="s">
        <v>594</v>
      </c>
      <c r="J495" s="1709" t="s">
        <v>3092</v>
      </c>
    </row>
    <row r="496" spans="8:10">
      <c r="H496" s="1596" t="s">
        <v>3093</v>
      </c>
      <c r="I496" s="1709" t="s">
        <v>594</v>
      </c>
      <c r="J496" s="1709" t="s">
        <v>3094</v>
      </c>
    </row>
    <row r="497" spans="8:10">
      <c r="H497" s="1596" t="s">
        <v>3095</v>
      </c>
      <c r="I497" s="1709" t="s">
        <v>594</v>
      </c>
      <c r="J497" s="1709" t="s">
        <v>3096</v>
      </c>
    </row>
    <row r="498" spans="8:10">
      <c r="H498" s="1596" t="s">
        <v>3097</v>
      </c>
      <c r="I498" s="1709" t="s">
        <v>594</v>
      </c>
      <c r="J498" s="1709" t="s">
        <v>3098</v>
      </c>
    </row>
    <row r="499" spans="8:10">
      <c r="H499" s="1596" t="s">
        <v>3099</v>
      </c>
      <c r="I499" s="1709" t="s">
        <v>594</v>
      </c>
      <c r="J499" s="1709" t="s">
        <v>3100</v>
      </c>
    </row>
    <row r="500" spans="8:10">
      <c r="H500" s="1596" t="s">
        <v>3101</v>
      </c>
      <c r="I500" s="1709" t="s">
        <v>594</v>
      </c>
      <c r="J500" s="1709" t="s">
        <v>3102</v>
      </c>
    </row>
    <row r="501" spans="8:10">
      <c r="H501" s="1596" t="s">
        <v>3103</v>
      </c>
      <c r="I501" s="1709" t="s">
        <v>594</v>
      </c>
      <c r="J501" s="1709" t="s">
        <v>3104</v>
      </c>
    </row>
    <row r="502" spans="8:10">
      <c r="H502" s="1596" t="s">
        <v>3105</v>
      </c>
      <c r="I502" s="1709" t="s">
        <v>594</v>
      </c>
      <c r="J502" s="1709" t="s">
        <v>3106</v>
      </c>
    </row>
    <row r="503" spans="8:10">
      <c r="H503" s="1596" t="s">
        <v>3107</v>
      </c>
      <c r="I503" s="1709" t="s">
        <v>594</v>
      </c>
      <c r="J503" s="1709" t="s">
        <v>3022</v>
      </c>
    </row>
    <row r="504" spans="8:10">
      <c r="H504" s="1596" t="s">
        <v>3108</v>
      </c>
      <c r="I504" s="1709" t="s">
        <v>594</v>
      </c>
      <c r="J504" s="1709" t="s">
        <v>3109</v>
      </c>
    </row>
    <row r="505" spans="8:10">
      <c r="H505" s="1596" t="s">
        <v>3110</v>
      </c>
      <c r="I505" s="1709" t="s">
        <v>594</v>
      </c>
      <c r="J505" s="1709" t="s">
        <v>3111</v>
      </c>
    </row>
    <row r="506" spans="8:10">
      <c r="H506" s="1596" t="s">
        <v>3112</v>
      </c>
      <c r="I506" s="1709" t="s">
        <v>594</v>
      </c>
      <c r="J506" s="1709" t="s">
        <v>3113</v>
      </c>
    </row>
    <row r="507" spans="8:10">
      <c r="H507" s="1596" t="s">
        <v>3114</v>
      </c>
      <c r="I507" s="1709" t="s">
        <v>594</v>
      </c>
      <c r="J507" s="1709" t="s">
        <v>3115</v>
      </c>
    </row>
    <row r="508" spans="8:10">
      <c r="H508" s="1596" t="s">
        <v>3116</v>
      </c>
      <c r="I508" s="1709" t="s">
        <v>594</v>
      </c>
      <c r="J508" s="1709" t="s">
        <v>3117</v>
      </c>
    </row>
    <row r="509" spans="8:10">
      <c r="H509" s="1596" t="s">
        <v>3118</v>
      </c>
      <c r="I509" s="1709" t="s">
        <v>594</v>
      </c>
      <c r="J509" s="1709" t="s">
        <v>3119</v>
      </c>
    </row>
    <row r="510" spans="8:10">
      <c r="H510" s="1596" t="s">
        <v>3120</v>
      </c>
      <c r="I510" s="1709" t="s">
        <v>594</v>
      </c>
      <c r="J510" s="1709" t="s">
        <v>3121</v>
      </c>
    </row>
    <row r="511" spans="8:10">
      <c r="H511" s="1596" t="s">
        <v>3122</v>
      </c>
      <c r="I511" s="1709" t="s">
        <v>594</v>
      </c>
      <c r="J511" s="1709" t="s">
        <v>3123</v>
      </c>
    </row>
    <row r="512" spans="8:10">
      <c r="H512" s="1596" t="s">
        <v>3124</v>
      </c>
      <c r="I512" s="1709" t="s">
        <v>594</v>
      </c>
      <c r="J512" s="1709" t="s">
        <v>3125</v>
      </c>
    </row>
    <row r="513" spans="8:10">
      <c r="H513" s="1596" t="s">
        <v>3126</v>
      </c>
      <c r="I513" s="1709" t="s">
        <v>594</v>
      </c>
      <c r="J513" s="1709" t="s">
        <v>3127</v>
      </c>
    </row>
    <row r="514" spans="8:10">
      <c r="H514" s="1596" t="s">
        <v>3128</v>
      </c>
      <c r="I514" s="1709" t="s">
        <v>594</v>
      </c>
      <c r="J514" s="1709" t="s">
        <v>3129</v>
      </c>
    </row>
    <row r="515" spans="8:10">
      <c r="H515" s="1596" t="s">
        <v>3130</v>
      </c>
      <c r="I515" s="1709" t="s">
        <v>594</v>
      </c>
      <c r="J515" s="1709" t="s">
        <v>3131</v>
      </c>
    </row>
    <row r="516" spans="8:10">
      <c r="H516" s="1596" t="s">
        <v>3132</v>
      </c>
      <c r="I516" s="1709" t="s">
        <v>594</v>
      </c>
      <c r="J516" s="1709" t="s">
        <v>3133</v>
      </c>
    </row>
    <row r="517" spans="8:10">
      <c r="H517" s="1596" t="s">
        <v>3134</v>
      </c>
      <c r="I517" s="1709" t="s">
        <v>594</v>
      </c>
      <c r="J517" s="1709" t="s">
        <v>3135</v>
      </c>
    </row>
    <row r="518" spans="8:10">
      <c r="H518" s="1596" t="s">
        <v>3136</v>
      </c>
      <c r="I518" s="1709" t="s">
        <v>594</v>
      </c>
      <c r="J518" s="1709" t="s">
        <v>3137</v>
      </c>
    </row>
    <row r="519" spans="8:10">
      <c r="H519" s="1596" t="s">
        <v>3138</v>
      </c>
      <c r="I519" s="1709" t="s">
        <v>594</v>
      </c>
      <c r="J519" s="1709" t="s">
        <v>3139</v>
      </c>
    </row>
    <row r="520" spans="8:10">
      <c r="H520" s="1596" t="s">
        <v>3140</v>
      </c>
      <c r="I520" s="1709" t="s">
        <v>594</v>
      </c>
      <c r="J520" s="1709" t="s">
        <v>3141</v>
      </c>
    </row>
    <row r="521" spans="8:10">
      <c r="H521" s="1596" t="s">
        <v>3142</v>
      </c>
      <c r="I521" s="1709" t="s">
        <v>594</v>
      </c>
      <c r="J521" s="1709" t="s">
        <v>3143</v>
      </c>
    </row>
    <row r="522" spans="8:10">
      <c r="H522" s="1596" t="s">
        <v>3144</v>
      </c>
      <c r="I522" s="1709" t="s">
        <v>594</v>
      </c>
      <c r="J522" s="1709" t="s">
        <v>3145</v>
      </c>
    </row>
    <row r="523" spans="8:10">
      <c r="H523" s="1596" t="s">
        <v>3146</v>
      </c>
      <c r="I523" s="1709" t="s">
        <v>594</v>
      </c>
      <c r="J523" s="1709" t="s">
        <v>3147</v>
      </c>
    </row>
    <row r="524" spans="8:10">
      <c r="H524" s="1596" t="s">
        <v>3148</v>
      </c>
      <c r="I524" s="1709" t="s">
        <v>594</v>
      </c>
      <c r="J524" s="1709" t="s">
        <v>3149</v>
      </c>
    </row>
    <row r="525" spans="8:10">
      <c r="H525" s="1596" t="s">
        <v>3150</v>
      </c>
      <c r="I525" s="1709" t="s">
        <v>594</v>
      </c>
      <c r="J525" s="1709" t="s">
        <v>3151</v>
      </c>
    </row>
    <row r="526" spans="8:10">
      <c r="H526" s="1596" t="s">
        <v>3152</v>
      </c>
      <c r="I526" s="1709" t="s">
        <v>594</v>
      </c>
      <c r="J526" s="1709" t="s">
        <v>3153</v>
      </c>
    </row>
    <row r="527" spans="8:10">
      <c r="H527" s="1596" t="s">
        <v>3154</v>
      </c>
      <c r="I527" s="1709" t="s">
        <v>594</v>
      </c>
      <c r="J527" s="1709" t="s">
        <v>3155</v>
      </c>
    </row>
    <row r="528" spans="8:10">
      <c r="H528" s="1596" t="s">
        <v>3156</v>
      </c>
      <c r="I528" s="1709" t="s">
        <v>594</v>
      </c>
      <c r="J528" s="1709" t="s">
        <v>3157</v>
      </c>
    </row>
    <row r="529" spans="8:12">
      <c r="H529" s="1596" t="s">
        <v>3158</v>
      </c>
      <c r="I529" s="1709" t="s">
        <v>594</v>
      </c>
      <c r="J529" s="1709" t="s">
        <v>3159</v>
      </c>
    </row>
    <row r="530" spans="8:12">
      <c r="H530" s="1596" t="s">
        <v>3160</v>
      </c>
      <c r="I530" s="1709" t="s">
        <v>594</v>
      </c>
      <c r="J530" s="1709" t="s">
        <v>3161</v>
      </c>
    </row>
    <row r="531" spans="8:12">
      <c r="H531" s="1596" t="s">
        <v>5592</v>
      </c>
      <c r="I531" s="1709" t="s">
        <v>623</v>
      </c>
      <c r="K531" s="1709">
        <f>ROW()</f>
        <v>531</v>
      </c>
      <c r="L531" s="1709">
        <f>K531+COUNTIF($I$118:$I$1905,I531)-1</f>
        <v>575</v>
      </c>
    </row>
    <row r="532" spans="8:12">
      <c r="H532" s="1596" t="s">
        <v>1391</v>
      </c>
      <c r="I532" s="1709" t="s">
        <v>623</v>
      </c>
      <c r="J532" s="1709" t="s">
        <v>1511</v>
      </c>
    </row>
    <row r="533" spans="8:12">
      <c r="H533" s="1596" t="s">
        <v>3162</v>
      </c>
      <c r="I533" s="1709" t="s">
        <v>623</v>
      </c>
      <c r="J533" s="1709" t="s">
        <v>3163</v>
      </c>
    </row>
    <row r="534" spans="8:12">
      <c r="H534" s="1596" t="s">
        <v>3164</v>
      </c>
      <c r="I534" s="1709" t="s">
        <v>623</v>
      </c>
      <c r="J534" s="1709" t="s">
        <v>3165</v>
      </c>
    </row>
    <row r="535" spans="8:12">
      <c r="H535" s="1596" t="s">
        <v>3166</v>
      </c>
      <c r="I535" s="1709" t="s">
        <v>623</v>
      </c>
      <c r="J535" s="1709" t="s">
        <v>3167</v>
      </c>
    </row>
    <row r="536" spans="8:12">
      <c r="H536" s="1596" t="s">
        <v>3168</v>
      </c>
      <c r="I536" s="1709" t="s">
        <v>623</v>
      </c>
      <c r="J536" s="1709" t="s">
        <v>3169</v>
      </c>
    </row>
    <row r="537" spans="8:12">
      <c r="H537" s="1596" t="s">
        <v>3170</v>
      </c>
      <c r="I537" s="1709" t="s">
        <v>623</v>
      </c>
      <c r="J537" s="1709" t="s">
        <v>3171</v>
      </c>
    </row>
    <row r="538" spans="8:12">
      <c r="H538" s="1596" t="s">
        <v>3172</v>
      </c>
      <c r="I538" s="1709" t="s">
        <v>623</v>
      </c>
      <c r="J538" s="1709" t="s">
        <v>3173</v>
      </c>
    </row>
    <row r="539" spans="8:12">
      <c r="H539" s="1596" t="s">
        <v>3174</v>
      </c>
      <c r="I539" s="1709" t="s">
        <v>623</v>
      </c>
      <c r="J539" s="1709" t="s">
        <v>3175</v>
      </c>
    </row>
    <row r="540" spans="8:12">
      <c r="H540" s="1596" t="s">
        <v>3176</v>
      </c>
      <c r="I540" s="1709" t="s">
        <v>623</v>
      </c>
      <c r="J540" s="1709" t="s">
        <v>3177</v>
      </c>
    </row>
    <row r="541" spans="8:12">
      <c r="H541" s="1596" t="s">
        <v>3178</v>
      </c>
      <c r="I541" s="1709" t="s">
        <v>623</v>
      </c>
      <c r="J541" s="1709" t="s">
        <v>3179</v>
      </c>
    </row>
    <row r="542" spans="8:12">
      <c r="H542" s="1596" t="s">
        <v>3180</v>
      </c>
      <c r="I542" s="1709" t="s">
        <v>623</v>
      </c>
      <c r="J542" s="1709" t="s">
        <v>3181</v>
      </c>
    </row>
    <row r="543" spans="8:12">
      <c r="H543" s="1596" t="s">
        <v>3182</v>
      </c>
      <c r="I543" s="1709" t="s">
        <v>623</v>
      </c>
      <c r="J543" s="1709" t="s">
        <v>3183</v>
      </c>
    </row>
    <row r="544" spans="8:12">
      <c r="H544" s="1596" t="s">
        <v>3184</v>
      </c>
      <c r="I544" s="1709" t="s">
        <v>623</v>
      </c>
      <c r="J544" s="1709" t="s">
        <v>3185</v>
      </c>
    </row>
    <row r="545" spans="8:10">
      <c r="H545" s="1596" t="s">
        <v>3186</v>
      </c>
      <c r="I545" s="1709" t="s">
        <v>623</v>
      </c>
      <c r="J545" s="1709" t="s">
        <v>3187</v>
      </c>
    </row>
    <row r="546" spans="8:10">
      <c r="H546" s="1596" t="s">
        <v>3188</v>
      </c>
      <c r="I546" s="1709" t="s">
        <v>623</v>
      </c>
      <c r="J546" s="1709" t="s">
        <v>3189</v>
      </c>
    </row>
    <row r="547" spans="8:10">
      <c r="H547" s="1596" t="s">
        <v>1392</v>
      </c>
      <c r="I547" s="1709" t="s">
        <v>623</v>
      </c>
      <c r="J547" s="1709" t="s">
        <v>1512</v>
      </c>
    </row>
    <row r="548" spans="8:10">
      <c r="H548" s="1596" t="s">
        <v>3190</v>
      </c>
      <c r="I548" s="1709" t="s">
        <v>623</v>
      </c>
      <c r="J548" s="1709" t="s">
        <v>3191</v>
      </c>
    </row>
    <row r="549" spans="8:10">
      <c r="H549" s="1596" t="s">
        <v>3192</v>
      </c>
      <c r="I549" s="1709" t="s">
        <v>623</v>
      </c>
      <c r="J549" s="1709" t="s">
        <v>3193</v>
      </c>
    </row>
    <row r="550" spans="8:10">
      <c r="H550" s="1596" t="s">
        <v>3194</v>
      </c>
      <c r="I550" s="1709" t="s">
        <v>623</v>
      </c>
      <c r="J550" s="1709" t="s">
        <v>3195</v>
      </c>
    </row>
    <row r="551" spans="8:10">
      <c r="H551" s="1596" t="s">
        <v>3196</v>
      </c>
      <c r="I551" s="1709" t="s">
        <v>623</v>
      </c>
      <c r="J551" s="1709" t="s">
        <v>3197</v>
      </c>
    </row>
    <row r="552" spans="8:10">
      <c r="H552" s="1596" t="s">
        <v>3198</v>
      </c>
      <c r="I552" s="1709" t="s">
        <v>623</v>
      </c>
      <c r="J552" s="1709" t="s">
        <v>3199</v>
      </c>
    </row>
    <row r="553" spans="8:10">
      <c r="H553" s="1596" t="s">
        <v>3200</v>
      </c>
      <c r="I553" s="1709" t="s">
        <v>623</v>
      </c>
      <c r="J553" s="1709" t="s">
        <v>3201</v>
      </c>
    </row>
    <row r="554" spans="8:10">
      <c r="H554" s="1596" t="s">
        <v>3202</v>
      </c>
      <c r="I554" s="1709" t="s">
        <v>623</v>
      </c>
      <c r="J554" s="1709" t="s">
        <v>3203</v>
      </c>
    </row>
    <row r="555" spans="8:10">
      <c r="H555" s="1596" t="s">
        <v>3204</v>
      </c>
      <c r="I555" s="1709" t="s">
        <v>623</v>
      </c>
      <c r="J555" s="1709" t="s">
        <v>3205</v>
      </c>
    </row>
    <row r="556" spans="8:10">
      <c r="H556" s="1596" t="s">
        <v>3206</v>
      </c>
      <c r="I556" s="1709" t="s">
        <v>623</v>
      </c>
      <c r="J556" s="1709" t="s">
        <v>3207</v>
      </c>
    </row>
    <row r="557" spans="8:10">
      <c r="H557" s="1596" t="s">
        <v>3208</v>
      </c>
      <c r="I557" s="1709" t="s">
        <v>623</v>
      </c>
      <c r="J557" s="1709" t="s">
        <v>3209</v>
      </c>
    </row>
    <row r="558" spans="8:10">
      <c r="H558" s="1596" t="s">
        <v>3210</v>
      </c>
      <c r="I558" s="1709" t="s">
        <v>623</v>
      </c>
      <c r="J558" s="1709" t="s">
        <v>3211</v>
      </c>
    </row>
    <row r="559" spans="8:10">
      <c r="H559" s="1596" t="s">
        <v>3212</v>
      </c>
      <c r="I559" s="1709" t="s">
        <v>623</v>
      </c>
      <c r="J559" s="1709" t="s">
        <v>3213</v>
      </c>
    </row>
    <row r="560" spans="8:10">
      <c r="H560" s="1596" t="s">
        <v>3214</v>
      </c>
      <c r="I560" s="1709" t="s">
        <v>623</v>
      </c>
      <c r="J560" s="1709" t="s">
        <v>3215</v>
      </c>
    </row>
    <row r="561" spans="8:12">
      <c r="H561" s="1596" t="s">
        <v>3216</v>
      </c>
      <c r="I561" s="1709" t="s">
        <v>623</v>
      </c>
      <c r="J561" s="1709" t="s">
        <v>3217</v>
      </c>
    </row>
    <row r="562" spans="8:12">
      <c r="H562" s="1596" t="s">
        <v>3218</v>
      </c>
      <c r="I562" s="1709" t="s">
        <v>623</v>
      </c>
      <c r="J562" s="1709" t="s">
        <v>3219</v>
      </c>
    </row>
    <row r="563" spans="8:12">
      <c r="H563" s="1596" t="s">
        <v>3220</v>
      </c>
      <c r="I563" s="1709" t="s">
        <v>623</v>
      </c>
      <c r="J563" s="1709" t="s">
        <v>3221</v>
      </c>
    </row>
    <row r="564" spans="8:12">
      <c r="H564" s="1596" t="s">
        <v>3222</v>
      </c>
      <c r="I564" s="1709" t="s">
        <v>623</v>
      </c>
      <c r="J564" s="1709" t="s">
        <v>3223</v>
      </c>
    </row>
    <row r="565" spans="8:12">
      <c r="H565" s="1596" t="s">
        <v>3224</v>
      </c>
      <c r="I565" s="1709" t="s">
        <v>623</v>
      </c>
      <c r="J565" s="1709" t="s">
        <v>3225</v>
      </c>
    </row>
    <row r="566" spans="8:12">
      <c r="H566" s="1596" t="s">
        <v>3226</v>
      </c>
      <c r="I566" s="1709" t="s">
        <v>623</v>
      </c>
      <c r="J566" s="1709" t="s">
        <v>3227</v>
      </c>
    </row>
    <row r="567" spans="8:12">
      <c r="H567" s="1596" t="s">
        <v>3228</v>
      </c>
      <c r="I567" s="1709" t="s">
        <v>623</v>
      </c>
      <c r="J567" s="1709" t="s">
        <v>3229</v>
      </c>
    </row>
    <row r="568" spans="8:12">
      <c r="H568" s="1596" t="s">
        <v>3230</v>
      </c>
      <c r="I568" s="1709" t="s">
        <v>623</v>
      </c>
      <c r="J568" s="1709" t="s">
        <v>3231</v>
      </c>
    </row>
    <row r="569" spans="8:12">
      <c r="H569" s="1596" t="s">
        <v>3232</v>
      </c>
      <c r="I569" s="1709" t="s">
        <v>623</v>
      </c>
      <c r="J569" s="1709" t="s">
        <v>3233</v>
      </c>
    </row>
    <row r="570" spans="8:12">
      <c r="H570" s="1596" t="s">
        <v>3234</v>
      </c>
      <c r="I570" s="1709" t="s">
        <v>623</v>
      </c>
      <c r="J570" s="1709" t="s">
        <v>3235</v>
      </c>
    </row>
    <row r="571" spans="8:12">
      <c r="H571" s="1596" t="s">
        <v>3236</v>
      </c>
      <c r="I571" s="1709" t="s">
        <v>623</v>
      </c>
      <c r="J571" s="1709" t="s">
        <v>3237</v>
      </c>
    </row>
    <row r="572" spans="8:12">
      <c r="H572" s="1596" t="s">
        <v>3238</v>
      </c>
      <c r="I572" s="1709" t="s">
        <v>623</v>
      </c>
      <c r="J572" s="1709" t="s">
        <v>3239</v>
      </c>
    </row>
    <row r="573" spans="8:12">
      <c r="H573" s="1596" t="s">
        <v>3240</v>
      </c>
      <c r="I573" s="1709" t="s">
        <v>623</v>
      </c>
      <c r="J573" s="1709" t="s">
        <v>3241</v>
      </c>
    </row>
    <row r="574" spans="8:12">
      <c r="H574" s="1596" t="s">
        <v>3242</v>
      </c>
      <c r="I574" s="1709" t="s">
        <v>623</v>
      </c>
      <c r="J574" s="1709" t="s">
        <v>3243</v>
      </c>
    </row>
    <row r="575" spans="8:12">
      <c r="H575" s="1596" t="s">
        <v>3244</v>
      </c>
      <c r="I575" s="1709" t="s">
        <v>623</v>
      </c>
      <c r="J575" s="1709" t="s">
        <v>3245</v>
      </c>
    </row>
    <row r="576" spans="8:12">
      <c r="H576" s="1596" t="s">
        <v>5593</v>
      </c>
      <c r="I576" s="1709" t="s">
        <v>595</v>
      </c>
      <c r="K576" s="1709">
        <f>ROW()</f>
        <v>576</v>
      </c>
      <c r="L576" s="1709">
        <f>K576+COUNTIF($I$118:$I$1905,I576)-1</f>
        <v>601</v>
      </c>
    </row>
    <row r="577" spans="8:10">
      <c r="H577" s="1596" t="s">
        <v>1352</v>
      </c>
      <c r="I577" s="1709" t="s">
        <v>595</v>
      </c>
      <c r="J577" s="1709" t="s">
        <v>1473</v>
      </c>
    </row>
    <row r="578" spans="8:10">
      <c r="H578" s="1596" t="s">
        <v>3246</v>
      </c>
      <c r="I578" s="1709" t="s">
        <v>595</v>
      </c>
      <c r="J578" s="1709" t="s">
        <v>3247</v>
      </c>
    </row>
    <row r="579" spans="8:10">
      <c r="H579" s="1596" t="s">
        <v>3248</v>
      </c>
      <c r="I579" s="1709" t="s">
        <v>595</v>
      </c>
      <c r="J579" s="1709" t="s">
        <v>3249</v>
      </c>
    </row>
    <row r="580" spans="8:10">
      <c r="H580" s="1596" t="s">
        <v>3250</v>
      </c>
      <c r="I580" s="1709" t="s">
        <v>595</v>
      </c>
      <c r="J580" s="1709" t="s">
        <v>3251</v>
      </c>
    </row>
    <row r="581" spans="8:10">
      <c r="H581" s="1596" t="s">
        <v>3252</v>
      </c>
      <c r="I581" s="1709" t="s">
        <v>595</v>
      </c>
      <c r="J581" s="1709" t="s">
        <v>3253</v>
      </c>
    </row>
    <row r="582" spans="8:10">
      <c r="H582" s="1596" t="s">
        <v>3254</v>
      </c>
      <c r="I582" s="1709" t="s">
        <v>595</v>
      </c>
      <c r="J582" s="1709" t="s">
        <v>3255</v>
      </c>
    </row>
    <row r="583" spans="8:10">
      <c r="H583" s="1596" t="s">
        <v>3256</v>
      </c>
      <c r="I583" s="1709" t="s">
        <v>595</v>
      </c>
      <c r="J583" s="1709" t="s">
        <v>3257</v>
      </c>
    </row>
    <row r="584" spans="8:10">
      <c r="H584" s="1596" t="s">
        <v>3258</v>
      </c>
      <c r="I584" s="1709" t="s">
        <v>595</v>
      </c>
      <c r="J584" s="1709" t="s">
        <v>3259</v>
      </c>
    </row>
    <row r="585" spans="8:10">
      <c r="H585" s="1596" t="s">
        <v>3260</v>
      </c>
      <c r="I585" s="1709" t="s">
        <v>595</v>
      </c>
      <c r="J585" s="1709" t="s">
        <v>3261</v>
      </c>
    </row>
    <row r="586" spans="8:10">
      <c r="H586" s="1596" t="s">
        <v>3262</v>
      </c>
      <c r="I586" s="1709" t="s">
        <v>595</v>
      </c>
      <c r="J586" s="1709" t="s">
        <v>3263</v>
      </c>
    </row>
    <row r="587" spans="8:10">
      <c r="H587" s="1596" t="s">
        <v>3264</v>
      </c>
      <c r="I587" s="1709" t="s">
        <v>595</v>
      </c>
      <c r="J587" s="1709" t="s">
        <v>3265</v>
      </c>
    </row>
    <row r="588" spans="8:10">
      <c r="H588" s="1596" t="s">
        <v>3266</v>
      </c>
      <c r="I588" s="1709" t="s">
        <v>595</v>
      </c>
      <c r="J588" s="1709" t="s">
        <v>3267</v>
      </c>
    </row>
    <row r="589" spans="8:10">
      <c r="H589" s="1596" t="s">
        <v>3268</v>
      </c>
      <c r="I589" s="1709" t="s">
        <v>595</v>
      </c>
      <c r="J589" s="1709" t="s">
        <v>3269</v>
      </c>
    </row>
    <row r="590" spans="8:10">
      <c r="H590" s="1596" t="s">
        <v>3270</v>
      </c>
      <c r="I590" s="1709" t="s">
        <v>595</v>
      </c>
      <c r="J590" s="1709" t="s">
        <v>3271</v>
      </c>
    </row>
    <row r="591" spans="8:10">
      <c r="H591" s="1596" t="s">
        <v>3272</v>
      </c>
      <c r="I591" s="1709" t="s">
        <v>595</v>
      </c>
      <c r="J591" s="1709" t="s">
        <v>3273</v>
      </c>
    </row>
    <row r="592" spans="8:10">
      <c r="H592" s="1596" t="s">
        <v>3274</v>
      </c>
      <c r="I592" s="1709" t="s">
        <v>595</v>
      </c>
      <c r="J592" s="1709" t="s">
        <v>3275</v>
      </c>
    </row>
    <row r="593" spans="8:12">
      <c r="H593" s="1596" t="s">
        <v>3276</v>
      </c>
      <c r="I593" s="1709" t="s">
        <v>595</v>
      </c>
      <c r="J593" s="1709" t="s">
        <v>3277</v>
      </c>
    </row>
    <row r="594" spans="8:12">
      <c r="H594" s="1596" t="s">
        <v>3278</v>
      </c>
      <c r="I594" s="1709" t="s">
        <v>595</v>
      </c>
      <c r="J594" s="1709" t="s">
        <v>3279</v>
      </c>
    </row>
    <row r="595" spans="8:12">
      <c r="H595" s="1596" t="s">
        <v>3280</v>
      </c>
      <c r="I595" s="1709" t="s">
        <v>595</v>
      </c>
      <c r="J595" s="1709" t="s">
        <v>3281</v>
      </c>
    </row>
    <row r="596" spans="8:12">
      <c r="H596" s="1596" t="s">
        <v>3282</v>
      </c>
      <c r="I596" s="1709" t="s">
        <v>595</v>
      </c>
      <c r="J596" s="1709" t="s">
        <v>3283</v>
      </c>
    </row>
    <row r="597" spans="8:12">
      <c r="H597" s="1596" t="s">
        <v>3284</v>
      </c>
      <c r="I597" s="1709" t="s">
        <v>595</v>
      </c>
      <c r="J597" s="1709" t="s">
        <v>3285</v>
      </c>
    </row>
    <row r="598" spans="8:12">
      <c r="H598" s="1596" t="s">
        <v>3286</v>
      </c>
      <c r="I598" s="1709" t="s">
        <v>595</v>
      </c>
      <c r="J598" s="1709" t="s">
        <v>3287</v>
      </c>
    </row>
    <row r="599" spans="8:12">
      <c r="H599" s="1596" t="s">
        <v>3288</v>
      </c>
      <c r="I599" s="1709" t="s">
        <v>595</v>
      </c>
      <c r="J599" s="1709" t="s">
        <v>3289</v>
      </c>
    </row>
    <row r="600" spans="8:12">
      <c r="H600" s="1596" t="s">
        <v>3290</v>
      </c>
      <c r="I600" s="1709" t="s">
        <v>595</v>
      </c>
      <c r="J600" s="1709" t="s">
        <v>3291</v>
      </c>
    </row>
    <row r="601" spans="8:12">
      <c r="H601" s="1596" t="s">
        <v>3292</v>
      </c>
      <c r="I601" s="1709" t="s">
        <v>595</v>
      </c>
      <c r="J601" s="1709" t="s">
        <v>3293</v>
      </c>
    </row>
    <row r="602" spans="8:12">
      <c r="H602" s="1596" t="s">
        <v>5594</v>
      </c>
      <c r="I602" s="1709" t="s">
        <v>596</v>
      </c>
      <c r="K602" s="1709">
        <f>ROW()</f>
        <v>602</v>
      </c>
      <c r="L602" s="1709">
        <f>K602+COUNTIF($I$118:$I$1905,I602)-1</f>
        <v>637</v>
      </c>
    </row>
    <row r="603" spans="8:12">
      <c r="H603" s="1596" t="s">
        <v>1353</v>
      </c>
      <c r="I603" s="1709" t="s">
        <v>596</v>
      </c>
      <c r="J603" s="1709" t="s">
        <v>1474</v>
      </c>
    </row>
    <row r="604" spans="8:12">
      <c r="H604" s="1596" t="s">
        <v>1384</v>
      </c>
      <c r="I604" s="1709" t="s">
        <v>596</v>
      </c>
      <c r="J604" s="1709" t="s">
        <v>1505</v>
      </c>
    </row>
    <row r="605" spans="8:12">
      <c r="H605" s="1596" t="s">
        <v>3294</v>
      </c>
      <c r="I605" s="1709" t="s">
        <v>596</v>
      </c>
      <c r="J605" s="1709" t="s">
        <v>3295</v>
      </c>
    </row>
    <row r="606" spans="8:12">
      <c r="H606" s="1596" t="s">
        <v>1393</v>
      </c>
      <c r="I606" s="1709" t="s">
        <v>596</v>
      </c>
      <c r="J606" s="1709" t="s">
        <v>1513</v>
      </c>
    </row>
    <row r="607" spans="8:12">
      <c r="H607" s="1596" t="s">
        <v>1394</v>
      </c>
      <c r="I607" s="1709" t="s">
        <v>596</v>
      </c>
      <c r="J607" s="1709" t="s">
        <v>1514</v>
      </c>
    </row>
    <row r="608" spans="8:12">
      <c r="H608" s="1596" t="s">
        <v>3296</v>
      </c>
      <c r="I608" s="1709" t="s">
        <v>596</v>
      </c>
      <c r="J608" s="1709" t="s">
        <v>3297</v>
      </c>
    </row>
    <row r="609" spans="8:10">
      <c r="H609" s="1596" t="s">
        <v>3298</v>
      </c>
      <c r="I609" s="1709" t="s">
        <v>596</v>
      </c>
      <c r="J609" s="1709" t="s">
        <v>3299</v>
      </c>
    </row>
    <row r="610" spans="8:10">
      <c r="H610" s="1596" t="s">
        <v>3300</v>
      </c>
      <c r="I610" s="1709" t="s">
        <v>596</v>
      </c>
      <c r="J610" s="1709" t="s">
        <v>3301</v>
      </c>
    </row>
    <row r="611" spans="8:10">
      <c r="H611" s="1596" t="s">
        <v>3302</v>
      </c>
      <c r="I611" s="1709" t="s">
        <v>596</v>
      </c>
      <c r="J611" s="1709" t="s">
        <v>3303</v>
      </c>
    </row>
    <row r="612" spans="8:10">
      <c r="H612" s="1596" t="s">
        <v>3304</v>
      </c>
      <c r="I612" s="1709" t="s">
        <v>596</v>
      </c>
      <c r="J612" s="1709" t="s">
        <v>3305</v>
      </c>
    </row>
    <row r="613" spans="8:10">
      <c r="H613" s="1596" t="s">
        <v>3306</v>
      </c>
      <c r="I613" s="1709" t="s">
        <v>596</v>
      </c>
      <c r="J613" s="1709" t="s">
        <v>3307</v>
      </c>
    </row>
    <row r="614" spans="8:10">
      <c r="H614" s="1596" t="s">
        <v>3308</v>
      </c>
      <c r="I614" s="1709" t="s">
        <v>596</v>
      </c>
      <c r="J614" s="1709" t="s">
        <v>3309</v>
      </c>
    </row>
    <row r="615" spans="8:10">
      <c r="H615" s="1596" t="s">
        <v>3310</v>
      </c>
      <c r="I615" s="1709" t="s">
        <v>596</v>
      </c>
      <c r="J615" s="1709" t="s">
        <v>3311</v>
      </c>
    </row>
    <row r="616" spans="8:10">
      <c r="H616" s="1596" t="s">
        <v>3312</v>
      </c>
      <c r="I616" s="1709" t="s">
        <v>596</v>
      </c>
      <c r="J616" s="1709" t="s">
        <v>3313</v>
      </c>
    </row>
    <row r="617" spans="8:10">
      <c r="H617" s="1596" t="s">
        <v>3314</v>
      </c>
      <c r="I617" s="1709" t="s">
        <v>596</v>
      </c>
      <c r="J617" s="1709" t="s">
        <v>3315</v>
      </c>
    </row>
    <row r="618" spans="8:10">
      <c r="H618" s="1596" t="s">
        <v>3316</v>
      </c>
      <c r="I618" s="1709" t="s">
        <v>596</v>
      </c>
      <c r="J618" s="1709" t="s">
        <v>3317</v>
      </c>
    </row>
    <row r="619" spans="8:10">
      <c r="H619" s="1596" t="s">
        <v>3318</v>
      </c>
      <c r="I619" s="1709" t="s">
        <v>596</v>
      </c>
      <c r="J619" s="1709" t="s">
        <v>3319</v>
      </c>
    </row>
    <row r="620" spans="8:10">
      <c r="H620" s="1596" t="s">
        <v>3320</v>
      </c>
      <c r="I620" s="1709" t="s">
        <v>596</v>
      </c>
      <c r="J620" s="1709" t="s">
        <v>3321</v>
      </c>
    </row>
    <row r="621" spans="8:10">
      <c r="H621" s="1596" t="s">
        <v>3322</v>
      </c>
      <c r="I621" s="1709" t="s">
        <v>596</v>
      </c>
      <c r="J621" s="1709" t="s">
        <v>3323</v>
      </c>
    </row>
    <row r="622" spans="8:10">
      <c r="H622" s="1596" t="s">
        <v>3324</v>
      </c>
      <c r="I622" s="1709" t="s">
        <v>596</v>
      </c>
      <c r="J622" s="1709" t="s">
        <v>3325</v>
      </c>
    </row>
    <row r="623" spans="8:10">
      <c r="H623" s="1596" t="s">
        <v>3326</v>
      </c>
      <c r="I623" s="1709" t="s">
        <v>596</v>
      </c>
      <c r="J623" s="1709" t="s">
        <v>3327</v>
      </c>
    </row>
    <row r="624" spans="8:10">
      <c r="H624" s="1596" t="s">
        <v>3328</v>
      </c>
      <c r="I624" s="1709" t="s">
        <v>596</v>
      </c>
      <c r="J624" s="1709" t="s">
        <v>3329</v>
      </c>
    </row>
    <row r="625" spans="8:12">
      <c r="H625" s="1596" t="s">
        <v>3330</v>
      </c>
      <c r="I625" s="1709" t="s">
        <v>596</v>
      </c>
      <c r="J625" s="1709" t="s">
        <v>3331</v>
      </c>
    </row>
    <row r="626" spans="8:12">
      <c r="H626" s="1596" t="s">
        <v>3332</v>
      </c>
      <c r="I626" s="1709" t="s">
        <v>596</v>
      </c>
      <c r="J626" s="1709" t="s">
        <v>3333</v>
      </c>
    </row>
    <row r="627" spans="8:12">
      <c r="H627" s="1596" t="s">
        <v>3334</v>
      </c>
      <c r="I627" s="1709" t="s">
        <v>596</v>
      </c>
      <c r="J627" s="1709" t="s">
        <v>3335</v>
      </c>
    </row>
    <row r="628" spans="8:12">
      <c r="H628" s="1596" t="s">
        <v>3336</v>
      </c>
      <c r="I628" s="1709" t="s">
        <v>596</v>
      </c>
      <c r="J628" s="1709" t="s">
        <v>3337</v>
      </c>
    </row>
    <row r="629" spans="8:12">
      <c r="H629" s="1596" t="s">
        <v>3338</v>
      </c>
      <c r="I629" s="1709" t="s">
        <v>596</v>
      </c>
      <c r="J629" s="1709" t="s">
        <v>3339</v>
      </c>
    </row>
    <row r="630" spans="8:12">
      <c r="H630" s="1596" t="s">
        <v>3340</v>
      </c>
      <c r="I630" s="1709" t="s">
        <v>596</v>
      </c>
      <c r="J630" s="1709" t="s">
        <v>3109</v>
      </c>
    </row>
    <row r="631" spans="8:12">
      <c r="H631" s="1596" t="s">
        <v>3341</v>
      </c>
      <c r="I631" s="1709" t="s">
        <v>596</v>
      </c>
      <c r="J631" s="1709" t="s">
        <v>3342</v>
      </c>
    </row>
    <row r="632" spans="8:12">
      <c r="H632" s="1596" t="s">
        <v>3343</v>
      </c>
      <c r="I632" s="1709" t="s">
        <v>596</v>
      </c>
      <c r="J632" s="1709" t="s">
        <v>3344</v>
      </c>
    </row>
    <row r="633" spans="8:12">
      <c r="H633" s="1596" t="s">
        <v>3345</v>
      </c>
      <c r="I633" s="1709" t="s">
        <v>596</v>
      </c>
      <c r="J633" s="1709" t="s">
        <v>3346</v>
      </c>
    </row>
    <row r="634" spans="8:12">
      <c r="H634" s="1596" t="s">
        <v>3347</v>
      </c>
      <c r="I634" s="1709" t="s">
        <v>596</v>
      </c>
      <c r="J634" s="1709" t="s">
        <v>3348</v>
      </c>
    </row>
    <row r="635" spans="8:12">
      <c r="H635" s="1596" t="s">
        <v>3349</v>
      </c>
      <c r="I635" s="1709" t="s">
        <v>596</v>
      </c>
      <c r="J635" s="1709" t="s">
        <v>3350</v>
      </c>
    </row>
    <row r="636" spans="8:12">
      <c r="H636" s="1596" t="s">
        <v>3351</v>
      </c>
      <c r="I636" s="1709" t="s">
        <v>596</v>
      </c>
      <c r="J636" s="1709" t="s">
        <v>3352</v>
      </c>
    </row>
    <row r="637" spans="8:12">
      <c r="H637" s="1596" t="s">
        <v>3353</v>
      </c>
      <c r="I637" s="1709" t="s">
        <v>596</v>
      </c>
      <c r="J637" s="1709" t="s">
        <v>3354</v>
      </c>
    </row>
    <row r="638" spans="8:12">
      <c r="H638" s="1596" t="s">
        <v>5595</v>
      </c>
      <c r="I638" s="1709" t="s">
        <v>597</v>
      </c>
      <c r="K638" s="1709">
        <f>ROW()</f>
        <v>638</v>
      </c>
      <c r="L638" s="1709">
        <f>K638+COUNTIF($I$118:$I$1905,I638)-1</f>
        <v>701</v>
      </c>
    </row>
    <row r="639" spans="8:12">
      <c r="H639" s="1596" t="s">
        <v>1337</v>
      </c>
      <c r="I639" s="1709" t="s">
        <v>597</v>
      </c>
      <c r="J639" s="1709" t="s">
        <v>1458</v>
      </c>
    </row>
    <row r="640" spans="8:12">
      <c r="H640" s="1596" t="s">
        <v>1354</v>
      </c>
      <c r="I640" s="1709" t="s">
        <v>597</v>
      </c>
      <c r="J640" s="1709" t="s">
        <v>1475</v>
      </c>
    </row>
    <row r="641" spans="8:10">
      <c r="H641" s="1596" t="s">
        <v>1395</v>
      </c>
      <c r="I641" s="1709" t="s">
        <v>597</v>
      </c>
      <c r="J641" s="1709" t="s">
        <v>1515</v>
      </c>
    </row>
    <row r="642" spans="8:10">
      <c r="H642" s="1596" t="s">
        <v>2086</v>
      </c>
      <c r="I642" s="1709" t="s">
        <v>597</v>
      </c>
      <c r="J642" s="1709" t="s">
        <v>3355</v>
      </c>
    </row>
    <row r="643" spans="8:10">
      <c r="H643" s="1596" t="s">
        <v>3356</v>
      </c>
      <c r="I643" s="1709" t="s">
        <v>597</v>
      </c>
      <c r="J643" s="1709" t="s">
        <v>3357</v>
      </c>
    </row>
    <row r="644" spans="8:10">
      <c r="H644" s="1596" t="s">
        <v>3358</v>
      </c>
      <c r="I644" s="1709" t="s">
        <v>597</v>
      </c>
      <c r="J644" s="1709" t="s">
        <v>3359</v>
      </c>
    </row>
    <row r="645" spans="8:10">
      <c r="H645" s="1596" t="s">
        <v>1396</v>
      </c>
      <c r="I645" s="1709" t="s">
        <v>597</v>
      </c>
      <c r="J645" s="1709" t="s">
        <v>1516</v>
      </c>
    </row>
    <row r="646" spans="8:10">
      <c r="H646" s="1596" t="s">
        <v>3360</v>
      </c>
      <c r="I646" s="1709" t="s">
        <v>597</v>
      </c>
      <c r="J646" s="1709" t="s">
        <v>3361</v>
      </c>
    </row>
    <row r="647" spans="8:10">
      <c r="H647" s="1596" t="s">
        <v>3362</v>
      </c>
      <c r="I647" s="1709" t="s">
        <v>597</v>
      </c>
      <c r="J647" s="1709" t="s">
        <v>3363</v>
      </c>
    </row>
    <row r="648" spans="8:10">
      <c r="H648" s="1596" t="s">
        <v>3364</v>
      </c>
      <c r="I648" s="1709" t="s">
        <v>597</v>
      </c>
      <c r="J648" s="1709" t="s">
        <v>3365</v>
      </c>
    </row>
    <row r="649" spans="8:10">
      <c r="H649" s="1596" t="s">
        <v>3366</v>
      </c>
      <c r="I649" s="1709" t="s">
        <v>597</v>
      </c>
      <c r="J649" s="1709" t="s">
        <v>3367</v>
      </c>
    </row>
    <row r="650" spans="8:10">
      <c r="H650" s="1596" t="s">
        <v>1398</v>
      </c>
      <c r="I650" s="1709" t="s">
        <v>597</v>
      </c>
      <c r="J650" s="1709" t="s">
        <v>1518</v>
      </c>
    </row>
    <row r="651" spans="8:10">
      <c r="H651" s="1596" t="s">
        <v>3368</v>
      </c>
      <c r="I651" s="1709" t="s">
        <v>597</v>
      </c>
      <c r="J651" s="1709" t="s">
        <v>3369</v>
      </c>
    </row>
    <row r="652" spans="8:10">
      <c r="H652" s="1596" t="s">
        <v>3370</v>
      </c>
      <c r="I652" s="1709" t="s">
        <v>597</v>
      </c>
      <c r="J652" s="1709" t="s">
        <v>3371</v>
      </c>
    </row>
    <row r="653" spans="8:10">
      <c r="H653" s="1596" t="s">
        <v>3372</v>
      </c>
      <c r="I653" s="1709" t="s">
        <v>597</v>
      </c>
      <c r="J653" s="1709" t="s">
        <v>3373</v>
      </c>
    </row>
    <row r="654" spans="8:10">
      <c r="H654" s="1596" t="s">
        <v>3374</v>
      </c>
      <c r="I654" s="1709" t="s">
        <v>597</v>
      </c>
      <c r="J654" s="1709" t="s">
        <v>3375</v>
      </c>
    </row>
    <row r="655" spans="8:10">
      <c r="H655" s="1596" t="s">
        <v>3376</v>
      </c>
      <c r="I655" s="1709" t="s">
        <v>597</v>
      </c>
      <c r="J655" s="1709" t="s">
        <v>3377</v>
      </c>
    </row>
    <row r="656" spans="8:10">
      <c r="H656" s="1596" t="s">
        <v>1397</v>
      </c>
      <c r="I656" s="1709" t="s">
        <v>597</v>
      </c>
      <c r="J656" s="1709" t="s">
        <v>1517</v>
      </c>
    </row>
    <row r="657" spans="8:10">
      <c r="H657" s="1596" t="s">
        <v>1388</v>
      </c>
      <c r="I657" s="1709" t="s">
        <v>597</v>
      </c>
      <c r="J657" s="1709" t="s">
        <v>1509</v>
      </c>
    </row>
    <row r="658" spans="8:10">
      <c r="H658" s="1596" t="s">
        <v>3378</v>
      </c>
      <c r="I658" s="1709" t="s">
        <v>597</v>
      </c>
      <c r="J658" s="1709" t="s">
        <v>3379</v>
      </c>
    </row>
    <row r="659" spans="8:10">
      <c r="H659" s="1596" t="s">
        <v>3380</v>
      </c>
      <c r="I659" s="1709" t="s">
        <v>597</v>
      </c>
      <c r="J659" s="1709" t="s">
        <v>3381</v>
      </c>
    </row>
    <row r="660" spans="8:10">
      <c r="H660" s="1596" t="s">
        <v>3382</v>
      </c>
      <c r="I660" s="1709" t="s">
        <v>597</v>
      </c>
      <c r="J660" s="1709" t="s">
        <v>3383</v>
      </c>
    </row>
    <row r="661" spans="8:10">
      <c r="H661" s="1596" t="s">
        <v>3384</v>
      </c>
      <c r="I661" s="1709" t="s">
        <v>597</v>
      </c>
      <c r="J661" s="1709" t="s">
        <v>3385</v>
      </c>
    </row>
    <row r="662" spans="8:10">
      <c r="H662" s="1596" t="s">
        <v>3386</v>
      </c>
      <c r="I662" s="1709" t="s">
        <v>597</v>
      </c>
      <c r="J662" s="1709" t="s">
        <v>3387</v>
      </c>
    </row>
    <row r="663" spans="8:10">
      <c r="H663" s="1596" t="s">
        <v>3388</v>
      </c>
      <c r="I663" s="1709" t="s">
        <v>597</v>
      </c>
      <c r="J663" s="1709" t="s">
        <v>3389</v>
      </c>
    </row>
    <row r="664" spans="8:10">
      <c r="H664" s="1596" t="s">
        <v>3390</v>
      </c>
      <c r="I664" s="1709" t="s">
        <v>597</v>
      </c>
      <c r="J664" s="1709" t="s">
        <v>3391</v>
      </c>
    </row>
    <row r="665" spans="8:10">
      <c r="H665" s="1596" t="s">
        <v>3392</v>
      </c>
      <c r="I665" s="1709" t="s">
        <v>597</v>
      </c>
      <c r="J665" s="1709" t="s">
        <v>3393</v>
      </c>
    </row>
    <row r="666" spans="8:10">
      <c r="H666" s="1596" t="s">
        <v>3394</v>
      </c>
      <c r="I666" s="1709" t="s">
        <v>597</v>
      </c>
      <c r="J666" s="1709" t="s">
        <v>3395</v>
      </c>
    </row>
    <row r="667" spans="8:10">
      <c r="H667" s="1596" t="s">
        <v>3396</v>
      </c>
      <c r="I667" s="1709" t="s">
        <v>597</v>
      </c>
      <c r="J667" s="1709" t="s">
        <v>3397</v>
      </c>
    </row>
    <row r="668" spans="8:10">
      <c r="H668" s="1596" t="s">
        <v>3398</v>
      </c>
      <c r="I668" s="1709" t="s">
        <v>597</v>
      </c>
      <c r="J668" s="1709" t="s">
        <v>3399</v>
      </c>
    </row>
    <row r="669" spans="8:10">
      <c r="H669" s="1596" t="s">
        <v>3400</v>
      </c>
      <c r="I669" s="1709" t="s">
        <v>597</v>
      </c>
      <c r="J669" s="1709" t="s">
        <v>3401</v>
      </c>
    </row>
    <row r="670" spans="8:10">
      <c r="H670" s="1596" t="s">
        <v>3402</v>
      </c>
      <c r="I670" s="1709" t="s">
        <v>597</v>
      </c>
      <c r="J670" s="1709" t="s">
        <v>3403</v>
      </c>
    </row>
    <row r="671" spans="8:10">
      <c r="H671" s="1596" t="s">
        <v>3404</v>
      </c>
      <c r="I671" s="1709" t="s">
        <v>597</v>
      </c>
      <c r="J671" s="1709" t="s">
        <v>3405</v>
      </c>
    </row>
    <row r="672" spans="8:10">
      <c r="H672" s="1596" t="s">
        <v>3406</v>
      </c>
      <c r="I672" s="1709" t="s">
        <v>597</v>
      </c>
      <c r="J672" s="1709" t="s">
        <v>3407</v>
      </c>
    </row>
    <row r="673" spans="8:10">
      <c r="H673" s="1596" t="s">
        <v>3408</v>
      </c>
      <c r="I673" s="1709" t="s">
        <v>597</v>
      </c>
      <c r="J673" s="1709" t="s">
        <v>3409</v>
      </c>
    </row>
    <row r="674" spans="8:10">
      <c r="H674" s="1596" t="s">
        <v>3410</v>
      </c>
      <c r="I674" s="1709" t="s">
        <v>597</v>
      </c>
      <c r="J674" s="1709" t="s">
        <v>3411</v>
      </c>
    </row>
    <row r="675" spans="8:10">
      <c r="H675" s="1596" t="s">
        <v>3412</v>
      </c>
      <c r="I675" s="1709" t="s">
        <v>597</v>
      </c>
      <c r="J675" s="1709" t="s">
        <v>3413</v>
      </c>
    </row>
    <row r="676" spans="8:10">
      <c r="H676" s="1596" t="s">
        <v>3414</v>
      </c>
      <c r="I676" s="1709" t="s">
        <v>597</v>
      </c>
      <c r="J676" s="1709" t="s">
        <v>3415</v>
      </c>
    </row>
    <row r="677" spans="8:10">
      <c r="H677" s="1596" t="s">
        <v>3416</v>
      </c>
      <c r="I677" s="1709" t="s">
        <v>597</v>
      </c>
      <c r="J677" s="1709" t="s">
        <v>3417</v>
      </c>
    </row>
    <row r="678" spans="8:10">
      <c r="H678" s="1596" t="s">
        <v>5596</v>
      </c>
      <c r="I678" s="1709" t="s">
        <v>597</v>
      </c>
      <c r="J678" s="1709" t="s">
        <v>3418</v>
      </c>
    </row>
    <row r="679" spans="8:10">
      <c r="H679" s="1596" t="s">
        <v>3419</v>
      </c>
      <c r="I679" s="1709" t="s">
        <v>597</v>
      </c>
      <c r="J679" s="1709" t="s">
        <v>3420</v>
      </c>
    </row>
    <row r="680" spans="8:10">
      <c r="H680" s="1596" t="s">
        <v>3421</v>
      </c>
      <c r="I680" s="1709" t="s">
        <v>597</v>
      </c>
      <c r="J680" s="1709" t="s">
        <v>3422</v>
      </c>
    </row>
    <row r="681" spans="8:10">
      <c r="H681" s="1596" t="s">
        <v>3423</v>
      </c>
      <c r="I681" s="1709" t="s">
        <v>597</v>
      </c>
      <c r="J681" s="1709" t="s">
        <v>3424</v>
      </c>
    </row>
    <row r="682" spans="8:10">
      <c r="H682" s="1596" t="s">
        <v>3425</v>
      </c>
      <c r="I682" s="1709" t="s">
        <v>597</v>
      </c>
      <c r="J682" s="1709" t="s">
        <v>3426</v>
      </c>
    </row>
    <row r="683" spans="8:10">
      <c r="H683" s="1596" t="s">
        <v>3427</v>
      </c>
      <c r="I683" s="1709" t="s">
        <v>597</v>
      </c>
      <c r="J683" s="1709" t="s">
        <v>3428</v>
      </c>
    </row>
    <row r="684" spans="8:10">
      <c r="H684" s="1596" t="s">
        <v>3429</v>
      </c>
      <c r="I684" s="1709" t="s">
        <v>597</v>
      </c>
      <c r="J684" s="1709" t="s">
        <v>3430</v>
      </c>
    </row>
    <row r="685" spans="8:10">
      <c r="H685" s="1596" t="s">
        <v>3431</v>
      </c>
      <c r="I685" s="1709" t="s">
        <v>597</v>
      </c>
      <c r="J685" s="1709" t="s">
        <v>3432</v>
      </c>
    </row>
    <row r="686" spans="8:10">
      <c r="H686" s="1596" t="s">
        <v>3433</v>
      </c>
      <c r="I686" s="1709" t="s">
        <v>597</v>
      </c>
      <c r="J686" s="1709" t="s">
        <v>3434</v>
      </c>
    </row>
    <row r="687" spans="8:10">
      <c r="H687" s="1596" t="s">
        <v>3435</v>
      </c>
      <c r="I687" s="1709" t="s">
        <v>597</v>
      </c>
      <c r="J687" s="1709" t="s">
        <v>3436</v>
      </c>
    </row>
    <row r="688" spans="8:10">
      <c r="H688" s="1596" t="s">
        <v>3437</v>
      </c>
      <c r="I688" s="1709" t="s">
        <v>597</v>
      </c>
      <c r="J688" s="1709" t="s">
        <v>3438</v>
      </c>
    </row>
    <row r="689" spans="8:12">
      <c r="H689" s="1596" t="s">
        <v>3439</v>
      </c>
      <c r="I689" s="1709" t="s">
        <v>597</v>
      </c>
      <c r="J689" s="1709" t="s">
        <v>3440</v>
      </c>
    </row>
    <row r="690" spans="8:12">
      <c r="H690" s="1596" t="s">
        <v>3441</v>
      </c>
      <c r="I690" s="1709" t="s">
        <v>597</v>
      </c>
      <c r="J690" s="1709" t="s">
        <v>3442</v>
      </c>
    </row>
    <row r="691" spans="8:12">
      <c r="H691" s="1596" t="s">
        <v>3443</v>
      </c>
      <c r="I691" s="1709" t="s">
        <v>597</v>
      </c>
      <c r="J691" s="1709" t="s">
        <v>3444</v>
      </c>
    </row>
    <row r="692" spans="8:12">
      <c r="H692" s="1596" t="s">
        <v>3445</v>
      </c>
      <c r="I692" s="1709" t="s">
        <v>597</v>
      </c>
      <c r="J692" s="1709" t="s">
        <v>3446</v>
      </c>
    </row>
    <row r="693" spans="8:12">
      <c r="H693" s="1596" t="s">
        <v>3447</v>
      </c>
      <c r="I693" s="1709" t="s">
        <v>597</v>
      </c>
      <c r="J693" s="1709" t="s">
        <v>3448</v>
      </c>
    </row>
    <row r="694" spans="8:12">
      <c r="H694" s="1596" t="s">
        <v>3449</v>
      </c>
      <c r="I694" s="1709" t="s">
        <v>597</v>
      </c>
      <c r="J694" s="1709" t="s">
        <v>3450</v>
      </c>
    </row>
    <row r="695" spans="8:12">
      <c r="H695" s="1596" t="s">
        <v>3451</v>
      </c>
      <c r="I695" s="1709" t="s">
        <v>597</v>
      </c>
      <c r="J695" s="1709" t="s">
        <v>2930</v>
      </c>
    </row>
    <row r="696" spans="8:12">
      <c r="H696" s="1596" t="s">
        <v>3452</v>
      </c>
      <c r="I696" s="1709" t="s">
        <v>597</v>
      </c>
      <c r="J696" s="1709" t="s">
        <v>3453</v>
      </c>
    </row>
    <row r="697" spans="8:12">
      <c r="H697" s="1596" t="s">
        <v>3454</v>
      </c>
      <c r="I697" s="1709" t="s">
        <v>597</v>
      </c>
      <c r="J697" s="1709" t="s">
        <v>3455</v>
      </c>
    </row>
    <row r="698" spans="8:12">
      <c r="H698" s="1596" t="s">
        <v>3456</v>
      </c>
      <c r="I698" s="1709" t="s">
        <v>597</v>
      </c>
      <c r="J698" s="1709" t="s">
        <v>3457</v>
      </c>
    </row>
    <row r="699" spans="8:12">
      <c r="H699" s="1596" t="s">
        <v>3458</v>
      </c>
      <c r="I699" s="1709" t="s">
        <v>597</v>
      </c>
      <c r="J699" s="1709" t="s">
        <v>3459</v>
      </c>
    </row>
    <row r="700" spans="8:12">
      <c r="H700" s="1596" t="s">
        <v>3460</v>
      </c>
      <c r="I700" s="1709" t="s">
        <v>597</v>
      </c>
      <c r="J700" s="1709" t="s">
        <v>3461</v>
      </c>
    </row>
    <row r="701" spans="8:12">
      <c r="H701" s="1596" t="s">
        <v>3462</v>
      </c>
      <c r="I701" s="1709" t="s">
        <v>597</v>
      </c>
      <c r="J701" s="1709" t="s">
        <v>3463</v>
      </c>
    </row>
    <row r="702" spans="8:12">
      <c r="H702" s="1596" t="s">
        <v>5597</v>
      </c>
      <c r="I702" s="1709" t="s">
        <v>598</v>
      </c>
      <c r="K702" s="1709">
        <f>ROW()</f>
        <v>702</v>
      </c>
      <c r="L702" s="1709">
        <f>K702+COUNTIF($I$118:$I$1905,I702)-1</f>
        <v>756</v>
      </c>
    </row>
    <row r="703" spans="8:12">
      <c r="H703" s="1596" t="s">
        <v>1336</v>
      </c>
      <c r="I703" s="1709" t="s">
        <v>598</v>
      </c>
      <c r="J703" s="1709" t="s">
        <v>1457</v>
      </c>
    </row>
    <row r="704" spans="8:12">
      <c r="H704" s="1596" t="s">
        <v>3464</v>
      </c>
      <c r="I704" s="1709" t="s">
        <v>598</v>
      </c>
      <c r="J704" s="1709" t="s">
        <v>3465</v>
      </c>
    </row>
    <row r="705" spans="8:10">
      <c r="H705" s="1596" t="s">
        <v>3466</v>
      </c>
      <c r="I705" s="1709" t="s">
        <v>598</v>
      </c>
      <c r="J705" s="1709" t="s">
        <v>3467</v>
      </c>
    </row>
    <row r="706" spans="8:10">
      <c r="H706" s="1596" t="s">
        <v>1355</v>
      </c>
      <c r="I706" s="1709" t="s">
        <v>598</v>
      </c>
      <c r="J706" s="1709" t="s">
        <v>1476</v>
      </c>
    </row>
    <row r="707" spans="8:10">
      <c r="H707" s="1596" t="s">
        <v>3468</v>
      </c>
      <c r="I707" s="1709" t="s">
        <v>598</v>
      </c>
      <c r="J707" s="1709" t="s">
        <v>3469</v>
      </c>
    </row>
    <row r="708" spans="8:10">
      <c r="H708" s="1596" t="s">
        <v>3470</v>
      </c>
      <c r="I708" s="1709" t="s">
        <v>598</v>
      </c>
      <c r="J708" s="1709" t="s">
        <v>3471</v>
      </c>
    </row>
    <row r="709" spans="8:10">
      <c r="H709" s="1596" t="s">
        <v>3472</v>
      </c>
      <c r="I709" s="1709" t="s">
        <v>598</v>
      </c>
      <c r="J709" s="1709" t="s">
        <v>3473</v>
      </c>
    </row>
    <row r="710" spans="8:10">
      <c r="H710" s="1596" t="s">
        <v>3474</v>
      </c>
      <c r="I710" s="1709" t="s">
        <v>598</v>
      </c>
      <c r="J710" s="1709" t="s">
        <v>3475</v>
      </c>
    </row>
    <row r="711" spans="8:10">
      <c r="H711" s="1596" t="s">
        <v>3476</v>
      </c>
      <c r="I711" s="1709" t="s">
        <v>598</v>
      </c>
      <c r="J711" s="1709" t="s">
        <v>3477</v>
      </c>
    </row>
    <row r="712" spans="8:10">
      <c r="H712" s="1596" t="s">
        <v>3478</v>
      </c>
      <c r="I712" s="1709" t="s">
        <v>598</v>
      </c>
      <c r="J712" s="1709" t="s">
        <v>3479</v>
      </c>
    </row>
    <row r="713" spans="8:10">
      <c r="H713" s="1596" t="s">
        <v>3480</v>
      </c>
      <c r="I713" s="1709" t="s">
        <v>598</v>
      </c>
      <c r="J713" s="1709" t="s">
        <v>3481</v>
      </c>
    </row>
    <row r="714" spans="8:10">
      <c r="H714" s="1596" t="s">
        <v>3482</v>
      </c>
      <c r="I714" s="1709" t="s">
        <v>598</v>
      </c>
      <c r="J714" s="1709" t="s">
        <v>3483</v>
      </c>
    </row>
    <row r="715" spans="8:10">
      <c r="H715" s="1596" t="s">
        <v>3484</v>
      </c>
      <c r="I715" s="1709" t="s">
        <v>598</v>
      </c>
      <c r="J715" s="1709" t="s">
        <v>3485</v>
      </c>
    </row>
    <row r="716" spans="8:10">
      <c r="H716" s="1596" t="s">
        <v>3486</v>
      </c>
      <c r="I716" s="1709" t="s">
        <v>598</v>
      </c>
      <c r="J716" s="1709" t="s">
        <v>3487</v>
      </c>
    </row>
    <row r="717" spans="8:10">
      <c r="H717" s="1596" t="s">
        <v>1356</v>
      </c>
      <c r="I717" s="1709" t="s">
        <v>598</v>
      </c>
      <c r="J717" s="1709" t="s">
        <v>1477</v>
      </c>
    </row>
    <row r="718" spans="8:10">
      <c r="H718" s="1596" t="s">
        <v>3488</v>
      </c>
      <c r="I718" s="1709" t="s">
        <v>598</v>
      </c>
      <c r="J718" s="1709" t="s">
        <v>3489</v>
      </c>
    </row>
    <row r="719" spans="8:10">
      <c r="H719" s="1596" t="s">
        <v>3490</v>
      </c>
      <c r="I719" s="1709" t="s">
        <v>598</v>
      </c>
      <c r="J719" s="1709" t="s">
        <v>3491</v>
      </c>
    </row>
    <row r="720" spans="8:10">
      <c r="H720" s="1596" t="s">
        <v>3492</v>
      </c>
      <c r="I720" s="1709" t="s">
        <v>598</v>
      </c>
      <c r="J720" s="1709" t="s">
        <v>3493</v>
      </c>
    </row>
    <row r="721" spans="8:10">
      <c r="H721" s="1596" t="s">
        <v>3494</v>
      </c>
      <c r="I721" s="1709" t="s">
        <v>598</v>
      </c>
      <c r="J721" s="1709" t="s">
        <v>3495</v>
      </c>
    </row>
    <row r="722" spans="8:10">
      <c r="H722" s="1596" t="s">
        <v>3496</v>
      </c>
      <c r="I722" s="1709" t="s">
        <v>598</v>
      </c>
      <c r="J722" s="1709" t="s">
        <v>3497</v>
      </c>
    </row>
    <row r="723" spans="8:10">
      <c r="H723" s="1596" t="s">
        <v>3498</v>
      </c>
      <c r="I723" s="1709" t="s">
        <v>598</v>
      </c>
      <c r="J723" s="1709" t="s">
        <v>3499</v>
      </c>
    </row>
    <row r="724" spans="8:10">
      <c r="H724" s="1596" t="s">
        <v>3500</v>
      </c>
      <c r="I724" s="1709" t="s">
        <v>598</v>
      </c>
      <c r="J724" s="1709" t="s">
        <v>3501</v>
      </c>
    </row>
    <row r="725" spans="8:10">
      <c r="H725" s="1596" t="s">
        <v>3502</v>
      </c>
      <c r="I725" s="1709" t="s">
        <v>598</v>
      </c>
      <c r="J725" s="1709" t="s">
        <v>3503</v>
      </c>
    </row>
    <row r="726" spans="8:10">
      <c r="H726" s="1596" t="s">
        <v>3504</v>
      </c>
      <c r="I726" s="1709" t="s">
        <v>598</v>
      </c>
      <c r="J726" s="1709" t="s">
        <v>3505</v>
      </c>
    </row>
    <row r="727" spans="8:10">
      <c r="H727" s="1596" t="s">
        <v>3506</v>
      </c>
      <c r="I727" s="1709" t="s">
        <v>598</v>
      </c>
      <c r="J727" s="1709" t="s">
        <v>3507</v>
      </c>
    </row>
    <row r="728" spans="8:10">
      <c r="H728" s="1596" t="s">
        <v>3508</v>
      </c>
      <c r="I728" s="1709" t="s">
        <v>598</v>
      </c>
      <c r="J728" s="1709" t="s">
        <v>3509</v>
      </c>
    </row>
    <row r="729" spans="8:10">
      <c r="H729" s="1596" t="s">
        <v>3510</v>
      </c>
      <c r="I729" s="1709" t="s">
        <v>598</v>
      </c>
      <c r="J729" s="1709" t="s">
        <v>3511</v>
      </c>
    </row>
    <row r="730" spans="8:10">
      <c r="H730" s="1596" t="s">
        <v>3512</v>
      </c>
      <c r="I730" s="1709" t="s">
        <v>598</v>
      </c>
      <c r="J730" s="1709" t="s">
        <v>3513</v>
      </c>
    </row>
    <row r="731" spans="8:10">
      <c r="H731" s="1596" t="s">
        <v>3514</v>
      </c>
      <c r="I731" s="1709" t="s">
        <v>598</v>
      </c>
      <c r="J731" s="1709" t="s">
        <v>3515</v>
      </c>
    </row>
    <row r="732" spans="8:10">
      <c r="H732" s="1596" t="s">
        <v>3516</v>
      </c>
      <c r="I732" s="1709" t="s">
        <v>598</v>
      </c>
      <c r="J732" s="1709" t="s">
        <v>3517</v>
      </c>
    </row>
    <row r="733" spans="8:10">
      <c r="H733" s="1596" t="s">
        <v>3518</v>
      </c>
      <c r="I733" s="1709" t="s">
        <v>598</v>
      </c>
      <c r="J733" s="1709" t="s">
        <v>3519</v>
      </c>
    </row>
    <row r="734" spans="8:10">
      <c r="H734" s="1596" t="s">
        <v>3520</v>
      </c>
      <c r="I734" s="1709" t="s">
        <v>598</v>
      </c>
      <c r="J734" s="1709" t="s">
        <v>3521</v>
      </c>
    </row>
    <row r="735" spans="8:10">
      <c r="H735" s="1596" t="s">
        <v>3522</v>
      </c>
      <c r="I735" s="1709" t="s">
        <v>598</v>
      </c>
      <c r="J735" s="1709" t="s">
        <v>3523</v>
      </c>
    </row>
    <row r="736" spans="8:10">
      <c r="H736" s="1596" t="s">
        <v>3524</v>
      </c>
      <c r="I736" s="1709" t="s">
        <v>598</v>
      </c>
      <c r="J736" s="1709" t="s">
        <v>3525</v>
      </c>
    </row>
    <row r="737" spans="8:10">
      <c r="H737" s="1596" t="s">
        <v>3526</v>
      </c>
      <c r="I737" s="1709" t="s">
        <v>598</v>
      </c>
      <c r="J737" s="1709" t="s">
        <v>3527</v>
      </c>
    </row>
    <row r="738" spans="8:10">
      <c r="H738" s="1596" t="s">
        <v>3528</v>
      </c>
      <c r="I738" s="1709" t="s">
        <v>598</v>
      </c>
      <c r="J738" s="1709" t="s">
        <v>3529</v>
      </c>
    </row>
    <row r="739" spans="8:10">
      <c r="H739" s="1596" t="s">
        <v>5598</v>
      </c>
      <c r="I739" s="1709" t="s">
        <v>598</v>
      </c>
      <c r="J739" s="1709" t="s">
        <v>3530</v>
      </c>
    </row>
    <row r="740" spans="8:10">
      <c r="H740" s="1596" t="s">
        <v>3531</v>
      </c>
      <c r="I740" s="1709" t="s">
        <v>598</v>
      </c>
      <c r="J740" s="1709" t="s">
        <v>3532</v>
      </c>
    </row>
    <row r="741" spans="8:10">
      <c r="H741" s="1596" t="s">
        <v>3533</v>
      </c>
      <c r="I741" s="1709" t="s">
        <v>598</v>
      </c>
      <c r="J741" s="1709" t="s">
        <v>3534</v>
      </c>
    </row>
    <row r="742" spans="8:10">
      <c r="H742" s="1596" t="s">
        <v>3535</v>
      </c>
      <c r="I742" s="1709" t="s">
        <v>598</v>
      </c>
      <c r="J742" s="1709" t="s">
        <v>3536</v>
      </c>
    </row>
    <row r="743" spans="8:10">
      <c r="H743" s="1596" t="s">
        <v>3537</v>
      </c>
      <c r="I743" s="1709" t="s">
        <v>598</v>
      </c>
      <c r="J743" s="1709" t="s">
        <v>3538</v>
      </c>
    </row>
    <row r="744" spans="8:10">
      <c r="H744" s="1596" t="s">
        <v>3539</v>
      </c>
      <c r="I744" s="1709" t="s">
        <v>598</v>
      </c>
      <c r="J744" s="1709" t="s">
        <v>3540</v>
      </c>
    </row>
    <row r="745" spans="8:10">
      <c r="H745" s="1596" t="s">
        <v>3541</v>
      </c>
      <c r="I745" s="1709" t="s">
        <v>598</v>
      </c>
      <c r="J745" s="1709" t="s">
        <v>3542</v>
      </c>
    </row>
    <row r="746" spans="8:10">
      <c r="H746" s="1596" t="s">
        <v>3543</v>
      </c>
      <c r="I746" s="1709" t="s">
        <v>598</v>
      </c>
      <c r="J746" s="1709" t="s">
        <v>3544</v>
      </c>
    </row>
    <row r="747" spans="8:10">
      <c r="H747" s="1596" t="s">
        <v>3545</v>
      </c>
      <c r="I747" s="1709" t="s">
        <v>598</v>
      </c>
      <c r="J747" s="1709" t="s">
        <v>3546</v>
      </c>
    </row>
    <row r="748" spans="8:10">
      <c r="H748" s="1596" t="s">
        <v>3547</v>
      </c>
      <c r="I748" s="1709" t="s">
        <v>598</v>
      </c>
      <c r="J748" s="1709" t="s">
        <v>3548</v>
      </c>
    </row>
    <row r="749" spans="8:10">
      <c r="H749" s="1596" t="s">
        <v>3549</v>
      </c>
      <c r="I749" s="1709" t="s">
        <v>598</v>
      </c>
      <c r="J749" s="1709" t="s">
        <v>3550</v>
      </c>
    </row>
    <row r="750" spans="8:10">
      <c r="H750" s="1596" t="s">
        <v>3551</v>
      </c>
      <c r="I750" s="1709" t="s">
        <v>598</v>
      </c>
      <c r="J750" s="1709" t="s">
        <v>3552</v>
      </c>
    </row>
    <row r="751" spans="8:10">
      <c r="H751" s="1596" t="s">
        <v>3553</v>
      </c>
      <c r="I751" s="1709" t="s">
        <v>598</v>
      </c>
      <c r="J751" s="1709" t="s">
        <v>3554</v>
      </c>
    </row>
    <row r="752" spans="8:10">
      <c r="H752" s="1596" t="s">
        <v>3555</v>
      </c>
      <c r="I752" s="1709" t="s">
        <v>598</v>
      </c>
      <c r="J752" s="1709" t="s">
        <v>3556</v>
      </c>
    </row>
    <row r="753" spans="8:12">
      <c r="H753" s="1596" t="s">
        <v>3557</v>
      </c>
      <c r="I753" s="1709" t="s">
        <v>598</v>
      </c>
      <c r="J753" s="1709" t="s">
        <v>3558</v>
      </c>
    </row>
    <row r="754" spans="8:12">
      <c r="H754" s="1596" t="s">
        <v>3559</v>
      </c>
      <c r="I754" s="1709" t="s">
        <v>598</v>
      </c>
      <c r="J754" s="1709" t="s">
        <v>3560</v>
      </c>
    </row>
    <row r="755" spans="8:12">
      <c r="H755" s="1596" t="s">
        <v>3561</v>
      </c>
      <c r="I755" s="1709" t="s">
        <v>598</v>
      </c>
      <c r="J755" s="1709" t="s">
        <v>3562</v>
      </c>
    </row>
    <row r="756" spans="8:12">
      <c r="H756" s="1596" t="s">
        <v>3563</v>
      </c>
      <c r="I756" s="1709" t="s">
        <v>598</v>
      </c>
      <c r="J756" s="1709" t="s">
        <v>3564</v>
      </c>
    </row>
    <row r="757" spans="8:12">
      <c r="H757" s="1596" t="s">
        <v>5599</v>
      </c>
      <c r="I757" s="1709" t="s">
        <v>3565</v>
      </c>
      <c r="K757" s="1709">
        <f>ROW()</f>
        <v>757</v>
      </c>
      <c r="L757" s="1709">
        <f>K757+COUNTIF($I$118:$I$1905,I757)-1</f>
        <v>819</v>
      </c>
    </row>
    <row r="758" spans="8:12">
      <c r="H758" s="1596" t="s">
        <v>1302</v>
      </c>
      <c r="I758" s="1709" t="s">
        <v>3565</v>
      </c>
      <c r="J758" s="1709" t="s">
        <v>1423</v>
      </c>
    </row>
    <row r="759" spans="8:12">
      <c r="H759" s="1596" t="s">
        <v>1303</v>
      </c>
      <c r="I759" s="1709" t="s">
        <v>3565</v>
      </c>
      <c r="J759" s="1709" t="s">
        <v>1424</v>
      </c>
    </row>
    <row r="760" spans="8:12">
      <c r="H760" s="1596" t="s">
        <v>1304</v>
      </c>
      <c r="I760" s="1709" t="s">
        <v>3565</v>
      </c>
      <c r="J760" s="1709" t="s">
        <v>1425</v>
      </c>
    </row>
    <row r="761" spans="8:12">
      <c r="H761" s="1596" t="s">
        <v>1305</v>
      </c>
      <c r="I761" s="1709" t="s">
        <v>3565</v>
      </c>
      <c r="J761" s="1709" t="s">
        <v>1426</v>
      </c>
    </row>
    <row r="762" spans="8:12">
      <c r="H762" s="1596" t="s">
        <v>1306</v>
      </c>
      <c r="I762" s="1709" t="s">
        <v>3565</v>
      </c>
      <c r="J762" s="1709" t="s">
        <v>1427</v>
      </c>
    </row>
    <row r="763" spans="8:12">
      <c r="H763" s="1596" t="s">
        <v>1307</v>
      </c>
      <c r="I763" s="1709" t="s">
        <v>3565</v>
      </c>
      <c r="J763" s="1709" t="s">
        <v>1428</v>
      </c>
    </row>
    <row r="764" spans="8:12">
      <c r="H764" s="1596" t="s">
        <v>1308</v>
      </c>
      <c r="I764" s="1709" t="s">
        <v>3565</v>
      </c>
      <c r="J764" s="1709" t="s">
        <v>1429</v>
      </c>
    </row>
    <row r="765" spans="8:12">
      <c r="H765" s="1596" t="s">
        <v>1309</v>
      </c>
      <c r="I765" s="1709" t="s">
        <v>3565</v>
      </c>
      <c r="J765" s="1709" t="s">
        <v>1430</v>
      </c>
    </row>
    <row r="766" spans="8:12">
      <c r="H766" s="1596" t="s">
        <v>1310</v>
      </c>
      <c r="I766" s="1709" t="s">
        <v>3565</v>
      </c>
      <c r="J766" s="1709" t="s">
        <v>1431</v>
      </c>
    </row>
    <row r="767" spans="8:12">
      <c r="H767" s="1596" t="s">
        <v>1311</v>
      </c>
      <c r="I767" s="1709" t="s">
        <v>3565</v>
      </c>
      <c r="J767" s="1709" t="s">
        <v>1432</v>
      </c>
    </row>
    <row r="768" spans="8:12">
      <c r="H768" s="1596" t="s">
        <v>1312</v>
      </c>
      <c r="I768" s="1709" t="s">
        <v>3565</v>
      </c>
      <c r="J768" s="1709" t="s">
        <v>1433</v>
      </c>
    </row>
    <row r="769" spans="8:10">
      <c r="H769" s="1596" t="s">
        <v>1313</v>
      </c>
      <c r="I769" s="1709" t="s">
        <v>3565</v>
      </c>
      <c r="J769" s="1709" t="s">
        <v>1434</v>
      </c>
    </row>
    <row r="770" spans="8:10">
      <c r="H770" s="1596" t="s">
        <v>1314</v>
      </c>
      <c r="I770" s="1709" t="s">
        <v>3565</v>
      </c>
      <c r="J770" s="1709" t="s">
        <v>1435</v>
      </c>
    </row>
    <row r="771" spans="8:10">
      <c r="H771" s="1596" t="s">
        <v>1315</v>
      </c>
      <c r="I771" s="1709" t="s">
        <v>3565</v>
      </c>
      <c r="J771" s="1709" t="s">
        <v>1436</v>
      </c>
    </row>
    <row r="772" spans="8:10">
      <c r="H772" s="1596" t="s">
        <v>1316</v>
      </c>
      <c r="I772" s="1709" t="s">
        <v>3565</v>
      </c>
      <c r="J772" s="1709" t="s">
        <v>1437</v>
      </c>
    </row>
    <row r="773" spans="8:10">
      <c r="H773" s="1596" t="s">
        <v>1317</v>
      </c>
      <c r="I773" s="1709" t="s">
        <v>3565</v>
      </c>
      <c r="J773" s="1709" t="s">
        <v>1438</v>
      </c>
    </row>
    <row r="774" spans="8:10">
      <c r="H774" s="1596" t="s">
        <v>1318</v>
      </c>
      <c r="I774" s="1709" t="s">
        <v>3565</v>
      </c>
      <c r="J774" s="1709" t="s">
        <v>1439</v>
      </c>
    </row>
    <row r="775" spans="8:10">
      <c r="H775" s="1596" t="s">
        <v>1319</v>
      </c>
      <c r="I775" s="1709" t="s">
        <v>3565</v>
      </c>
      <c r="J775" s="1709" t="s">
        <v>1440</v>
      </c>
    </row>
    <row r="776" spans="8:10">
      <c r="H776" s="1596" t="s">
        <v>1320</v>
      </c>
      <c r="I776" s="1709" t="s">
        <v>3565</v>
      </c>
      <c r="J776" s="1709" t="s">
        <v>1441</v>
      </c>
    </row>
    <row r="777" spans="8:10">
      <c r="H777" s="1596" t="s">
        <v>1321</v>
      </c>
      <c r="I777" s="1709" t="s">
        <v>3565</v>
      </c>
      <c r="J777" s="1709" t="s">
        <v>1442</v>
      </c>
    </row>
    <row r="778" spans="8:10">
      <c r="H778" s="1596" t="s">
        <v>1322</v>
      </c>
      <c r="I778" s="1709" t="s">
        <v>3565</v>
      </c>
      <c r="J778" s="1709" t="s">
        <v>1443</v>
      </c>
    </row>
    <row r="779" spans="8:10">
      <c r="H779" s="1596" t="s">
        <v>1323</v>
      </c>
      <c r="I779" s="1709" t="s">
        <v>3565</v>
      </c>
      <c r="J779" s="1709" t="s">
        <v>1444</v>
      </c>
    </row>
    <row r="780" spans="8:10">
      <c r="H780" s="1596" t="s">
        <v>1324</v>
      </c>
      <c r="I780" s="1709" t="s">
        <v>3565</v>
      </c>
      <c r="J780" s="1709" t="s">
        <v>1445</v>
      </c>
    </row>
    <row r="781" spans="8:10">
      <c r="H781" s="1596" t="s">
        <v>1389</v>
      </c>
      <c r="I781" s="1709" t="s">
        <v>3565</v>
      </c>
      <c r="J781" s="1709" t="s">
        <v>1300</v>
      </c>
    </row>
    <row r="782" spans="8:10">
      <c r="H782" s="1596" t="s">
        <v>3566</v>
      </c>
      <c r="I782" s="1709" t="s">
        <v>3565</v>
      </c>
      <c r="J782" s="1709" t="s">
        <v>3567</v>
      </c>
    </row>
    <row r="783" spans="8:10">
      <c r="H783" s="1596" t="s">
        <v>3568</v>
      </c>
      <c r="I783" s="1709" t="s">
        <v>3565</v>
      </c>
      <c r="J783" s="1709" t="s">
        <v>3569</v>
      </c>
    </row>
    <row r="784" spans="8:10">
      <c r="H784" s="1596" t="s">
        <v>3570</v>
      </c>
      <c r="I784" s="1709" t="s">
        <v>3565</v>
      </c>
      <c r="J784" s="1709" t="s">
        <v>3571</v>
      </c>
    </row>
    <row r="785" spans="8:10">
      <c r="H785" s="1596" t="s">
        <v>3572</v>
      </c>
      <c r="I785" s="1709" t="s">
        <v>3565</v>
      </c>
      <c r="J785" s="1709" t="s">
        <v>3573</v>
      </c>
    </row>
    <row r="786" spans="8:10">
      <c r="H786" s="1596" t="s">
        <v>3574</v>
      </c>
      <c r="I786" s="1709" t="s">
        <v>3565</v>
      </c>
      <c r="J786" s="1709" t="s">
        <v>3575</v>
      </c>
    </row>
    <row r="787" spans="8:10">
      <c r="H787" s="1596" t="s">
        <v>3576</v>
      </c>
      <c r="I787" s="1709" t="s">
        <v>3565</v>
      </c>
      <c r="J787" s="1709" t="s">
        <v>3577</v>
      </c>
    </row>
    <row r="788" spans="8:10">
      <c r="H788" s="1596" t="s">
        <v>3578</v>
      </c>
      <c r="I788" s="1709" t="s">
        <v>3565</v>
      </c>
      <c r="J788" s="1709" t="s">
        <v>3579</v>
      </c>
    </row>
    <row r="789" spans="8:10">
      <c r="H789" s="1596" t="s">
        <v>3580</v>
      </c>
      <c r="I789" s="1709" t="s">
        <v>3565</v>
      </c>
      <c r="J789" s="1709" t="s">
        <v>3581</v>
      </c>
    </row>
    <row r="790" spans="8:10">
      <c r="H790" s="1596" t="s">
        <v>3582</v>
      </c>
      <c r="I790" s="1709" t="s">
        <v>3565</v>
      </c>
      <c r="J790" s="1709" t="s">
        <v>3583</v>
      </c>
    </row>
    <row r="791" spans="8:10">
      <c r="H791" s="1596" t="s">
        <v>3584</v>
      </c>
      <c r="I791" s="1709" t="s">
        <v>3565</v>
      </c>
      <c r="J791" s="1709" t="s">
        <v>3585</v>
      </c>
    </row>
    <row r="792" spans="8:10">
      <c r="H792" s="1596" t="s">
        <v>3586</v>
      </c>
      <c r="I792" s="1709" t="s">
        <v>3565</v>
      </c>
      <c r="J792" s="1709" t="s">
        <v>3587</v>
      </c>
    </row>
    <row r="793" spans="8:10">
      <c r="H793" s="1596" t="s">
        <v>3588</v>
      </c>
      <c r="I793" s="1709" t="s">
        <v>3565</v>
      </c>
      <c r="J793" s="1709" t="s">
        <v>3589</v>
      </c>
    </row>
    <row r="794" spans="8:10">
      <c r="H794" s="1596" t="s">
        <v>3590</v>
      </c>
      <c r="I794" s="1709" t="s">
        <v>3565</v>
      </c>
      <c r="J794" s="1709" t="s">
        <v>3591</v>
      </c>
    </row>
    <row r="795" spans="8:10">
      <c r="H795" s="1596" t="s">
        <v>3592</v>
      </c>
      <c r="I795" s="1709" t="s">
        <v>3565</v>
      </c>
      <c r="J795" s="1709" t="s">
        <v>3593</v>
      </c>
    </row>
    <row r="796" spans="8:10">
      <c r="H796" s="1596" t="s">
        <v>3594</v>
      </c>
      <c r="I796" s="1709" t="s">
        <v>3565</v>
      </c>
      <c r="J796" s="1709" t="s">
        <v>3595</v>
      </c>
    </row>
    <row r="797" spans="8:10">
      <c r="H797" s="1596" t="s">
        <v>3596</v>
      </c>
      <c r="I797" s="1709" t="s">
        <v>3565</v>
      </c>
      <c r="J797" s="1709" t="s">
        <v>3597</v>
      </c>
    </row>
    <row r="798" spans="8:10">
      <c r="H798" s="1596" t="s">
        <v>3598</v>
      </c>
      <c r="I798" s="1709" t="s">
        <v>3565</v>
      </c>
      <c r="J798" s="1709" t="s">
        <v>3599</v>
      </c>
    </row>
    <row r="799" spans="8:10">
      <c r="H799" s="1596" t="s">
        <v>3600</v>
      </c>
      <c r="I799" s="1709" t="s">
        <v>3565</v>
      </c>
      <c r="J799" s="1709" t="s">
        <v>3601</v>
      </c>
    </row>
    <row r="800" spans="8:10">
      <c r="H800" s="1596" t="s">
        <v>3602</v>
      </c>
      <c r="I800" s="1709" t="s">
        <v>3565</v>
      </c>
      <c r="J800" s="1709" t="s">
        <v>3603</v>
      </c>
    </row>
    <row r="801" spans="8:10">
      <c r="H801" s="1596" t="s">
        <v>3604</v>
      </c>
      <c r="I801" s="1709" t="s">
        <v>3565</v>
      </c>
      <c r="J801" s="1709" t="s">
        <v>3605</v>
      </c>
    </row>
    <row r="802" spans="8:10">
      <c r="H802" s="1596" t="s">
        <v>3606</v>
      </c>
      <c r="I802" s="1709" t="s">
        <v>3565</v>
      </c>
      <c r="J802" s="1709" t="s">
        <v>3607</v>
      </c>
    </row>
    <row r="803" spans="8:10">
      <c r="H803" s="1596" t="s">
        <v>3608</v>
      </c>
      <c r="I803" s="1709" t="s">
        <v>3565</v>
      </c>
      <c r="J803" s="1709" t="s">
        <v>3609</v>
      </c>
    </row>
    <row r="804" spans="8:10">
      <c r="H804" s="1596" t="s">
        <v>3610</v>
      </c>
      <c r="I804" s="1709" t="s">
        <v>3565</v>
      </c>
      <c r="J804" s="1709" t="s">
        <v>3611</v>
      </c>
    </row>
    <row r="805" spans="8:10">
      <c r="H805" s="1596" t="s">
        <v>3612</v>
      </c>
      <c r="I805" s="1709" t="s">
        <v>3565</v>
      </c>
      <c r="J805" s="1709" t="s">
        <v>3613</v>
      </c>
    </row>
    <row r="806" spans="8:10">
      <c r="H806" s="1596" t="s">
        <v>3614</v>
      </c>
      <c r="I806" s="1709" t="s">
        <v>3565</v>
      </c>
      <c r="J806" s="1709" t="s">
        <v>3615</v>
      </c>
    </row>
    <row r="807" spans="8:10">
      <c r="H807" s="1596" t="s">
        <v>3616</v>
      </c>
      <c r="I807" s="1709" t="s">
        <v>3565</v>
      </c>
      <c r="J807" s="1709" t="s">
        <v>3617</v>
      </c>
    </row>
    <row r="808" spans="8:10">
      <c r="H808" s="1596" t="s">
        <v>3618</v>
      </c>
      <c r="I808" s="1709" t="s">
        <v>3565</v>
      </c>
      <c r="J808" s="1709" t="s">
        <v>3619</v>
      </c>
    </row>
    <row r="809" spans="8:10">
      <c r="H809" s="1596" t="s">
        <v>3620</v>
      </c>
      <c r="I809" s="1709" t="s">
        <v>3565</v>
      </c>
      <c r="J809" s="1709" t="s">
        <v>3621</v>
      </c>
    </row>
    <row r="810" spans="8:10">
      <c r="H810" s="1596" t="s">
        <v>3622</v>
      </c>
      <c r="I810" s="1709" t="s">
        <v>3565</v>
      </c>
      <c r="J810" s="1709" t="s">
        <v>3623</v>
      </c>
    </row>
    <row r="811" spans="8:10">
      <c r="H811" s="1596" t="s">
        <v>3624</v>
      </c>
      <c r="I811" s="1709" t="s">
        <v>3565</v>
      </c>
      <c r="J811" s="1709" t="s">
        <v>3625</v>
      </c>
    </row>
    <row r="812" spans="8:10">
      <c r="H812" s="1596" t="s">
        <v>3626</v>
      </c>
      <c r="I812" s="1709" t="s">
        <v>3565</v>
      </c>
      <c r="J812" s="1709" t="s">
        <v>3627</v>
      </c>
    </row>
    <row r="813" spans="8:10">
      <c r="H813" s="1596" t="s">
        <v>3628</v>
      </c>
      <c r="I813" s="1709" t="s">
        <v>3565</v>
      </c>
      <c r="J813" s="1709" t="s">
        <v>3629</v>
      </c>
    </row>
    <row r="814" spans="8:10">
      <c r="H814" s="1596" t="s">
        <v>3630</v>
      </c>
      <c r="I814" s="1709" t="s">
        <v>3565</v>
      </c>
      <c r="J814" s="1709" t="s">
        <v>3631</v>
      </c>
    </row>
    <row r="815" spans="8:10">
      <c r="H815" s="1596" t="s">
        <v>3632</v>
      </c>
      <c r="I815" s="1709" t="s">
        <v>3565</v>
      </c>
      <c r="J815" s="1709" t="s">
        <v>3633</v>
      </c>
    </row>
    <row r="816" spans="8:10">
      <c r="H816" s="1596" t="s">
        <v>3634</v>
      </c>
      <c r="I816" s="1709" t="s">
        <v>3565</v>
      </c>
      <c r="J816" s="1709" t="s">
        <v>3635</v>
      </c>
    </row>
    <row r="817" spans="8:12">
      <c r="H817" s="1596" t="s">
        <v>3636</v>
      </c>
      <c r="I817" s="1709" t="s">
        <v>3565</v>
      </c>
      <c r="J817" s="1709" t="s">
        <v>3637</v>
      </c>
    </row>
    <row r="818" spans="8:12">
      <c r="H818" s="1596" t="s">
        <v>3638</v>
      </c>
      <c r="I818" s="1709" t="s">
        <v>3565</v>
      </c>
      <c r="J818" s="1709" t="s">
        <v>3639</v>
      </c>
    </row>
    <row r="819" spans="8:12">
      <c r="H819" s="1596" t="s">
        <v>3640</v>
      </c>
      <c r="I819" s="1709" t="s">
        <v>3565</v>
      </c>
      <c r="J819" s="1709" t="s">
        <v>3641</v>
      </c>
    </row>
    <row r="820" spans="8:12">
      <c r="H820" s="1596" t="s">
        <v>5600</v>
      </c>
      <c r="I820" s="1709" t="s">
        <v>599</v>
      </c>
      <c r="K820" s="1709">
        <f>ROW()</f>
        <v>820</v>
      </c>
      <c r="L820" s="1709">
        <f>K820+COUNTIF($I$118:$I$1905,I820)-1</f>
        <v>853</v>
      </c>
    </row>
    <row r="821" spans="8:12">
      <c r="H821" s="1596" t="s">
        <v>1326</v>
      </c>
      <c r="I821" s="1709" t="s">
        <v>599</v>
      </c>
      <c r="J821" s="1709" t="s">
        <v>1447</v>
      </c>
    </row>
    <row r="822" spans="8:12">
      <c r="H822" s="1596" t="s">
        <v>1327</v>
      </c>
      <c r="I822" s="1709" t="s">
        <v>599</v>
      </c>
      <c r="J822" s="1709" t="s">
        <v>1448</v>
      </c>
    </row>
    <row r="823" spans="8:12">
      <c r="H823" s="1596" t="s">
        <v>1343</v>
      </c>
      <c r="I823" s="1709" t="s">
        <v>599</v>
      </c>
      <c r="J823" s="1709" t="s">
        <v>1464</v>
      </c>
    </row>
    <row r="824" spans="8:12">
      <c r="H824" s="1596" t="s">
        <v>1357</v>
      </c>
      <c r="I824" s="1709" t="s">
        <v>599</v>
      </c>
      <c r="J824" s="1709" t="s">
        <v>1478</v>
      </c>
    </row>
    <row r="825" spans="8:12">
      <c r="H825" s="1596" t="s">
        <v>1399</v>
      </c>
      <c r="I825" s="1709" t="s">
        <v>599</v>
      </c>
      <c r="J825" s="1709" t="s">
        <v>1519</v>
      </c>
    </row>
    <row r="826" spans="8:12">
      <c r="H826" s="1596" t="s">
        <v>3642</v>
      </c>
      <c r="I826" s="1709" t="s">
        <v>599</v>
      </c>
      <c r="J826" s="1709" t="s">
        <v>3643</v>
      </c>
    </row>
    <row r="827" spans="8:12">
      <c r="H827" s="1596" t="s">
        <v>3644</v>
      </c>
      <c r="I827" s="1709" t="s">
        <v>599</v>
      </c>
      <c r="J827" s="1709" t="s">
        <v>3645</v>
      </c>
    </row>
    <row r="828" spans="8:12">
      <c r="H828" s="1596" t="s">
        <v>1400</v>
      </c>
      <c r="I828" s="1709" t="s">
        <v>599</v>
      </c>
      <c r="J828" s="1709" t="s">
        <v>1520</v>
      </c>
    </row>
    <row r="829" spans="8:12">
      <c r="H829" s="1596" t="s">
        <v>1401</v>
      </c>
      <c r="I829" s="1709" t="s">
        <v>599</v>
      </c>
      <c r="J829" s="1709" t="s">
        <v>1521</v>
      </c>
    </row>
    <row r="830" spans="8:12">
      <c r="H830" s="1596" t="s">
        <v>3646</v>
      </c>
      <c r="I830" s="1709" t="s">
        <v>599</v>
      </c>
      <c r="J830" s="1709" t="s">
        <v>3647</v>
      </c>
    </row>
    <row r="831" spans="8:12">
      <c r="H831" s="1596" t="s">
        <v>3648</v>
      </c>
      <c r="I831" s="1709" t="s">
        <v>599</v>
      </c>
      <c r="J831" s="1709" t="s">
        <v>3649</v>
      </c>
    </row>
    <row r="832" spans="8:12">
      <c r="H832" s="1596" t="s">
        <v>3650</v>
      </c>
      <c r="I832" s="1709" t="s">
        <v>599</v>
      </c>
      <c r="J832" s="1709" t="s">
        <v>3651</v>
      </c>
    </row>
    <row r="833" spans="8:10">
      <c r="H833" s="1596" t="s">
        <v>1402</v>
      </c>
      <c r="I833" s="1709" t="s">
        <v>599</v>
      </c>
      <c r="J833" s="1709" t="s">
        <v>1522</v>
      </c>
    </row>
    <row r="834" spans="8:10">
      <c r="H834" s="1596" t="s">
        <v>1403</v>
      </c>
      <c r="I834" s="1709" t="s">
        <v>599</v>
      </c>
      <c r="J834" s="1709" t="s">
        <v>1523</v>
      </c>
    </row>
    <row r="835" spans="8:10">
      <c r="H835" s="1596" t="s">
        <v>3652</v>
      </c>
      <c r="I835" s="1709" t="s">
        <v>599</v>
      </c>
      <c r="J835" s="1709" t="s">
        <v>3653</v>
      </c>
    </row>
    <row r="836" spans="8:10">
      <c r="H836" s="1596" t="s">
        <v>3654</v>
      </c>
      <c r="I836" s="1709" t="s">
        <v>599</v>
      </c>
      <c r="J836" s="1709" t="s">
        <v>3655</v>
      </c>
    </row>
    <row r="837" spans="8:10">
      <c r="H837" s="1596" t="s">
        <v>3656</v>
      </c>
      <c r="I837" s="1709" t="s">
        <v>599</v>
      </c>
      <c r="J837" s="1709" t="s">
        <v>3657</v>
      </c>
    </row>
    <row r="838" spans="8:10">
      <c r="H838" s="1596" t="s">
        <v>3658</v>
      </c>
      <c r="I838" s="1709" t="s">
        <v>599</v>
      </c>
      <c r="J838" s="1709" t="s">
        <v>3659</v>
      </c>
    </row>
    <row r="839" spans="8:10">
      <c r="H839" s="1596" t="s">
        <v>3660</v>
      </c>
      <c r="I839" s="1709" t="s">
        <v>599</v>
      </c>
      <c r="J839" s="1709" t="s">
        <v>3661</v>
      </c>
    </row>
    <row r="840" spans="8:10">
      <c r="H840" s="1596" t="s">
        <v>3662</v>
      </c>
      <c r="I840" s="1709" t="s">
        <v>599</v>
      </c>
      <c r="J840" s="1709" t="s">
        <v>3663</v>
      </c>
    </row>
    <row r="841" spans="8:10">
      <c r="H841" s="1596" t="s">
        <v>3664</v>
      </c>
      <c r="I841" s="1709" t="s">
        <v>599</v>
      </c>
      <c r="J841" s="1709" t="s">
        <v>3665</v>
      </c>
    </row>
    <row r="842" spans="8:10">
      <c r="H842" s="1596" t="s">
        <v>3666</v>
      </c>
      <c r="I842" s="1709" t="s">
        <v>599</v>
      </c>
      <c r="J842" s="1709" t="s">
        <v>3667</v>
      </c>
    </row>
    <row r="843" spans="8:10">
      <c r="H843" s="1596" t="s">
        <v>3668</v>
      </c>
      <c r="I843" s="1709" t="s">
        <v>599</v>
      </c>
      <c r="J843" s="1709" t="s">
        <v>3669</v>
      </c>
    </row>
    <row r="844" spans="8:10">
      <c r="H844" s="1596" t="s">
        <v>3670</v>
      </c>
      <c r="I844" s="1709" t="s">
        <v>599</v>
      </c>
      <c r="J844" s="1709" t="s">
        <v>3671</v>
      </c>
    </row>
    <row r="845" spans="8:10">
      <c r="H845" s="1596" t="s">
        <v>3672</v>
      </c>
      <c r="I845" s="1709" t="s">
        <v>599</v>
      </c>
      <c r="J845" s="1709" t="s">
        <v>3673</v>
      </c>
    </row>
    <row r="846" spans="8:10">
      <c r="H846" s="1596" t="s">
        <v>3674</v>
      </c>
      <c r="I846" s="1709" t="s">
        <v>599</v>
      </c>
      <c r="J846" s="1709" t="s">
        <v>3675</v>
      </c>
    </row>
    <row r="847" spans="8:10">
      <c r="H847" s="1596" t="s">
        <v>3676</v>
      </c>
      <c r="I847" s="1709" t="s">
        <v>599</v>
      </c>
      <c r="J847" s="1709" t="s">
        <v>3677</v>
      </c>
    </row>
    <row r="848" spans="8:10">
      <c r="H848" s="1596" t="s">
        <v>3678</v>
      </c>
      <c r="I848" s="1709" t="s">
        <v>599</v>
      </c>
      <c r="J848" s="1709" t="s">
        <v>3679</v>
      </c>
    </row>
    <row r="849" spans="8:12">
      <c r="H849" s="1596" t="s">
        <v>3680</v>
      </c>
      <c r="I849" s="1709" t="s">
        <v>599</v>
      </c>
      <c r="J849" s="1709" t="s">
        <v>3681</v>
      </c>
    </row>
    <row r="850" spans="8:12">
      <c r="H850" s="1596" t="s">
        <v>3682</v>
      </c>
      <c r="I850" s="1709" t="s">
        <v>599</v>
      </c>
      <c r="J850" s="1709" t="s">
        <v>3683</v>
      </c>
    </row>
    <row r="851" spans="8:12">
      <c r="H851" s="1596" t="s">
        <v>3684</v>
      </c>
      <c r="I851" s="1709" t="s">
        <v>599</v>
      </c>
      <c r="J851" s="1709" t="s">
        <v>3685</v>
      </c>
    </row>
    <row r="852" spans="8:12">
      <c r="H852" s="1596" t="s">
        <v>3686</v>
      </c>
      <c r="I852" s="1709" t="s">
        <v>599</v>
      </c>
      <c r="J852" s="1709" t="s">
        <v>3687</v>
      </c>
    </row>
    <row r="853" spans="8:12">
      <c r="H853" s="1596" t="s">
        <v>3688</v>
      </c>
      <c r="I853" s="1709" t="s">
        <v>599</v>
      </c>
      <c r="J853" s="1709" t="s">
        <v>3689</v>
      </c>
    </row>
    <row r="854" spans="8:12">
      <c r="H854" s="1596" t="s">
        <v>5601</v>
      </c>
      <c r="I854" s="1709" t="s">
        <v>624</v>
      </c>
      <c r="K854" s="1709">
        <f>ROW()</f>
        <v>854</v>
      </c>
      <c r="L854" s="1709">
        <f>K854+COUNTIF($I$118:$I$1905,I854)-1</f>
        <v>884</v>
      </c>
    </row>
    <row r="855" spans="8:12">
      <c r="H855" s="1596" t="s">
        <v>1340</v>
      </c>
      <c r="I855" s="1709" t="s">
        <v>624</v>
      </c>
      <c r="J855" s="1709" t="s">
        <v>1461</v>
      </c>
    </row>
    <row r="856" spans="8:12">
      <c r="H856" s="1596" t="s">
        <v>1404</v>
      </c>
      <c r="I856" s="1709" t="s">
        <v>624</v>
      </c>
      <c r="J856" s="1709" t="s">
        <v>1524</v>
      </c>
    </row>
    <row r="857" spans="8:12">
      <c r="H857" s="1596" t="s">
        <v>3690</v>
      </c>
      <c r="I857" s="1709" t="s">
        <v>624</v>
      </c>
      <c r="J857" s="1709" t="s">
        <v>3691</v>
      </c>
    </row>
    <row r="858" spans="8:12">
      <c r="H858" s="1596" t="s">
        <v>3692</v>
      </c>
      <c r="I858" s="1709" t="s">
        <v>624</v>
      </c>
      <c r="J858" s="1709" t="s">
        <v>3693</v>
      </c>
    </row>
    <row r="859" spans="8:12">
      <c r="H859" s="1596" t="s">
        <v>3694</v>
      </c>
      <c r="I859" s="1709" t="s">
        <v>624</v>
      </c>
      <c r="J859" s="1709" t="s">
        <v>3695</v>
      </c>
    </row>
    <row r="860" spans="8:12">
      <c r="H860" s="1596" t="s">
        <v>3696</v>
      </c>
      <c r="I860" s="1709" t="s">
        <v>624</v>
      </c>
      <c r="J860" s="1709" t="s">
        <v>3697</v>
      </c>
    </row>
    <row r="861" spans="8:12">
      <c r="H861" s="1596" t="s">
        <v>3698</v>
      </c>
      <c r="I861" s="1709" t="s">
        <v>624</v>
      </c>
      <c r="J861" s="1709" t="s">
        <v>3699</v>
      </c>
    </row>
    <row r="862" spans="8:12">
      <c r="H862" s="1596" t="s">
        <v>3700</v>
      </c>
      <c r="I862" s="1709" t="s">
        <v>624</v>
      </c>
      <c r="J862" s="1709" t="s">
        <v>3701</v>
      </c>
    </row>
    <row r="863" spans="8:12">
      <c r="H863" s="1596" t="s">
        <v>3702</v>
      </c>
      <c r="I863" s="1709" t="s">
        <v>624</v>
      </c>
      <c r="J863" s="1709" t="s">
        <v>3703</v>
      </c>
    </row>
    <row r="864" spans="8:12">
      <c r="H864" s="1596" t="s">
        <v>3704</v>
      </c>
      <c r="I864" s="1709" t="s">
        <v>624</v>
      </c>
      <c r="J864" s="1709" t="s">
        <v>3705</v>
      </c>
    </row>
    <row r="865" spans="8:10">
      <c r="H865" s="1596" t="s">
        <v>3706</v>
      </c>
      <c r="I865" s="1709" t="s">
        <v>624</v>
      </c>
      <c r="J865" s="1709" t="s">
        <v>3707</v>
      </c>
    </row>
    <row r="866" spans="8:10">
      <c r="H866" s="1596" t="s">
        <v>3708</v>
      </c>
      <c r="I866" s="1709" t="s">
        <v>624</v>
      </c>
      <c r="J866" s="1709" t="s">
        <v>3709</v>
      </c>
    </row>
    <row r="867" spans="8:10">
      <c r="H867" s="1596" t="s">
        <v>3710</v>
      </c>
      <c r="I867" s="1709" t="s">
        <v>624</v>
      </c>
      <c r="J867" s="1709" t="s">
        <v>3711</v>
      </c>
    </row>
    <row r="868" spans="8:10">
      <c r="H868" s="1596" t="s">
        <v>3712</v>
      </c>
      <c r="I868" s="1709" t="s">
        <v>624</v>
      </c>
      <c r="J868" s="1709" t="s">
        <v>3713</v>
      </c>
    </row>
    <row r="869" spans="8:10">
      <c r="H869" s="1596" t="s">
        <v>1405</v>
      </c>
      <c r="I869" s="1709" t="s">
        <v>624</v>
      </c>
      <c r="J869" s="1709" t="s">
        <v>1525</v>
      </c>
    </row>
    <row r="870" spans="8:10">
      <c r="H870" s="1596" t="s">
        <v>3714</v>
      </c>
      <c r="I870" s="1709" t="s">
        <v>624</v>
      </c>
      <c r="J870" s="1709" t="s">
        <v>3715</v>
      </c>
    </row>
    <row r="871" spans="8:10">
      <c r="H871" s="1596" t="s">
        <v>3716</v>
      </c>
      <c r="I871" s="1709" t="s">
        <v>624</v>
      </c>
      <c r="J871" s="1709" t="s">
        <v>3717</v>
      </c>
    </row>
    <row r="872" spans="8:10">
      <c r="H872" s="1596" t="s">
        <v>3718</v>
      </c>
      <c r="I872" s="1709" t="s">
        <v>624</v>
      </c>
      <c r="J872" s="1709" t="s">
        <v>3719</v>
      </c>
    </row>
    <row r="873" spans="8:10">
      <c r="H873" s="1596" t="s">
        <v>3720</v>
      </c>
      <c r="I873" s="1709" t="s">
        <v>624</v>
      </c>
      <c r="J873" s="1709" t="s">
        <v>3721</v>
      </c>
    </row>
    <row r="874" spans="8:10">
      <c r="H874" s="1596" t="s">
        <v>3722</v>
      </c>
      <c r="I874" s="1709" t="s">
        <v>624</v>
      </c>
      <c r="J874" s="1709" t="s">
        <v>3723</v>
      </c>
    </row>
    <row r="875" spans="8:10">
      <c r="H875" s="1596" t="s">
        <v>3724</v>
      </c>
      <c r="I875" s="1709" t="s">
        <v>624</v>
      </c>
      <c r="J875" s="1709" t="s">
        <v>3725</v>
      </c>
    </row>
    <row r="876" spans="8:10">
      <c r="H876" s="1596" t="s">
        <v>3726</v>
      </c>
      <c r="I876" s="1709" t="s">
        <v>624</v>
      </c>
      <c r="J876" s="1709" t="s">
        <v>3727</v>
      </c>
    </row>
    <row r="877" spans="8:10">
      <c r="H877" s="1596" t="s">
        <v>3728</v>
      </c>
      <c r="I877" s="1709" t="s">
        <v>624</v>
      </c>
      <c r="J877" s="1709" t="s">
        <v>3729</v>
      </c>
    </row>
    <row r="878" spans="8:10">
      <c r="H878" s="1596" t="s">
        <v>3730</v>
      </c>
      <c r="I878" s="1709" t="s">
        <v>624</v>
      </c>
      <c r="J878" s="1709" t="s">
        <v>3731</v>
      </c>
    </row>
    <row r="879" spans="8:10">
      <c r="H879" s="1596" t="s">
        <v>3732</v>
      </c>
      <c r="I879" s="1709" t="s">
        <v>624</v>
      </c>
      <c r="J879" s="1709" t="s">
        <v>3733</v>
      </c>
    </row>
    <row r="880" spans="8:10">
      <c r="H880" s="1596" t="s">
        <v>3734</v>
      </c>
      <c r="I880" s="1709" t="s">
        <v>624</v>
      </c>
      <c r="J880" s="1709" t="s">
        <v>3735</v>
      </c>
    </row>
    <row r="881" spans="8:12">
      <c r="H881" s="1596" t="s">
        <v>3736</v>
      </c>
      <c r="I881" s="1709" t="s">
        <v>624</v>
      </c>
      <c r="J881" s="1709" t="s">
        <v>3737</v>
      </c>
    </row>
    <row r="882" spans="8:12">
      <c r="H882" s="1596" t="s">
        <v>3738</v>
      </c>
      <c r="I882" s="1709" t="s">
        <v>624</v>
      </c>
      <c r="J882" s="1709" t="s">
        <v>3739</v>
      </c>
    </row>
    <row r="883" spans="8:12">
      <c r="H883" s="1596" t="s">
        <v>3740</v>
      </c>
      <c r="I883" s="1709" t="s">
        <v>624</v>
      </c>
      <c r="J883" s="1709" t="s">
        <v>3741</v>
      </c>
    </row>
    <row r="884" spans="8:12">
      <c r="H884" s="1596" t="s">
        <v>3742</v>
      </c>
      <c r="I884" s="1709" t="s">
        <v>624</v>
      </c>
      <c r="J884" s="1709" t="s">
        <v>3743</v>
      </c>
    </row>
    <row r="885" spans="8:12">
      <c r="H885" s="1596" t="s">
        <v>5602</v>
      </c>
      <c r="I885" s="1709" t="s">
        <v>600</v>
      </c>
      <c r="K885" s="1709">
        <f>ROW()</f>
        <v>885</v>
      </c>
      <c r="L885" s="1709">
        <f>K885+COUNTIF($I$118:$I$1905,I885)-1</f>
        <v>900</v>
      </c>
    </row>
    <row r="886" spans="8:12">
      <c r="H886" s="1596" t="s">
        <v>1358</v>
      </c>
      <c r="I886" s="1709" t="s">
        <v>600</v>
      </c>
      <c r="J886" s="1709" t="s">
        <v>1479</v>
      </c>
    </row>
    <row r="887" spans="8:12">
      <c r="H887" s="1596" t="s">
        <v>3744</v>
      </c>
      <c r="I887" s="1709" t="s">
        <v>600</v>
      </c>
      <c r="J887" s="1709" t="s">
        <v>3745</v>
      </c>
    </row>
    <row r="888" spans="8:12">
      <c r="H888" s="1596" t="s">
        <v>3746</v>
      </c>
      <c r="I888" s="1709" t="s">
        <v>600</v>
      </c>
      <c r="J888" s="1709" t="s">
        <v>3747</v>
      </c>
    </row>
    <row r="889" spans="8:12">
      <c r="H889" s="1596" t="s">
        <v>3748</v>
      </c>
      <c r="I889" s="1709" t="s">
        <v>600</v>
      </c>
      <c r="J889" s="1709" t="s">
        <v>3749</v>
      </c>
    </row>
    <row r="890" spans="8:12">
      <c r="H890" s="1596" t="s">
        <v>3750</v>
      </c>
      <c r="I890" s="1709" t="s">
        <v>600</v>
      </c>
      <c r="J890" s="1709" t="s">
        <v>3751</v>
      </c>
    </row>
    <row r="891" spans="8:12">
      <c r="H891" s="1596" t="s">
        <v>3752</v>
      </c>
      <c r="I891" s="1709" t="s">
        <v>600</v>
      </c>
      <c r="J891" s="1709" t="s">
        <v>3753</v>
      </c>
    </row>
    <row r="892" spans="8:12">
      <c r="H892" s="1596" t="s">
        <v>3754</v>
      </c>
      <c r="I892" s="1709" t="s">
        <v>600</v>
      </c>
      <c r="J892" s="1709" t="s">
        <v>3755</v>
      </c>
    </row>
    <row r="893" spans="8:12">
      <c r="H893" s="1596" t="s">
        <v>3756</v>
      </c>
      <c r="I893" s="1709" t="s">
        <v>600</v>
      </c>
      <c r="J893" s="1709" t="s">
        <v>3757</v>
      </c>
    </row>
    <row r="894" spans="8:12">
      <c r="H894" s="1596" t="s">
        <v>3758</v>
      </c>
      <c r="I894" s="1709" t="s">
        <v>600</v>
      </c>
      <c r="J894" s="1709" t="s">
        <v>3759</v>
      </c>
    </row>
    <row r="895" spans="8:12">
      <c r="H895" s="1596" t="s">
        <v>3760</v>
      </c>
      <c r="I895" s="1709" t="s">
        <v>600</v>
      </c>
      <c r="J895" s="1709" t="s">
        <v>3761</v>
      </c>
    </row>
    <row r="896" spans="8:12">
      <c r="H896" s="1596" t="s">
        <v>3762</v>
      </c>
      <c r="I896" s="1709" t="s">
        <v>600</v>
      </c>
      <c r="J896" s="1709" t="s">
        <v>3763</v>
      </c>
    </row>
    <row r="897" spans="8:12">
      <c r="H897" s="1596" t="s">
        <v>3764</v>
      </c>
      <c r="I897" s="1709" t="s">
        <v>600</v>
      </c>
      <c r="J897" s="1709" t="s">
        <v>3765</v>
      </c>
    </row>
    <row r="898" spans="8:12">
      <c r="H898" s="1596" t="s">
        <v>3766</v>
      </c>
      <c r="I898" s="1709" t="s">
        <v>600</v>
      </c>
      <c r="J898" s="1709" t="s">
        <v>3767</v>
      </c>
    </row>
    <row r="899" spans="8:12">
      <c r="H899" s="1596" t="s">
        <v>3768</v>
      </c>
      <c r="I899" s="1709" t="s">
        <v>600</v>
      </c>
      <c r="J899" s="1709" t="s">
        <v>3769</v>
      </c>
    </row>
    <row r="900" spans="8:12">
      <c r="H900" s="1596" t="s">
        <v>3770</v>
      </c>
      <c r="I900" s="1709" t="s">
        <v>600</v>
      </c>
      <c r="J900" s="1709" t="s">
        <v>3016</v>
      </c>
    </row>
    <row r="901" spans="8:12">
      <c r="H901" s="1596" t="s">
        <v>5603</v>
      </c>
      <c r="I901" s="1709" t="s">
        <v>601</v>
      </c>
      <c r="K901" s="1709">
        <f>ROW()</f>
        <v>901</v>
      </c>
      <c r="L901" s="1709">
        <f>K901+COUNTIF($I$118:$I$1905,I901)-1</f>
        <v>920</v>
      </c>
    </row>
    <row r="902" spans="8:12">
      <c r="H902" s="1596" t="s">
        <v>1359</v>
      </c>
      <c r="I902" s="1709" t="s">
        <v>601</v>
      </c>
      <c r="J902" s="1709" t="s">
        <v>1480</v>
      </c>
    </row>
    <row r="903" spans="8:12">
      <c r="H903" s="1596" t="s">
        <v>3771</v>
      </c>
      <c r="I903" s="1709" t="s">
        <v>601</v>
      </c>
      <c r="J903" s="1709" t="s">
        <v>3772</v>
      </c>
    </row>
    <row r="904" spans="8:12">
      <c r="H904" s="1596" t="s">
        <v>3773</v>
      </c>
      <c r="I904" s="1709" t="s">
        <v>601</v>
      </c>
      <c r="J904" s="1709" t="s">
        <v>3774</v>
      </c>
    </row>
    <row r="905" spans="8:12">
      <c r="H905" s="1596" t="s">
        <v>3775</v>
      </c>
      <c r="I905" s="1709" t="s">
        <v>601</v>
      </c>
      <c r="J905" s="1709" t="s">
        <v>3776</v>
      </c>
    </row>
    <row r="906" spans="8:12">
      <c r="H906" s="1596" t="s">
        <v>3777</v>
      </c>
      <c r="I906" s="1709" t="s">
        <v>601</v>
      </c>
      <c r="J906" s="1709" t="s">
        <v>3778</v>
      </c>
    </row>
    <row r="907" spans="8:12">
      <c r="H907" s="1596" t="s">
        <v>3779</v>
      </c>
      <c r="I907" s="1709" t="s">
        <v>601</v>
      </c>
      <c r="J907" s="1709" t="s">
        <v>3780</v>
      </c>
    </row>
    <row r="908" spans="8:12">
      <c r="H908" s="1596" t="s">
        <v>3781</v>
      </c>
      <c r="I908" s="1709" t="s">
        <v>601</v>
      </c>
      <c r="J908" s="1709" t="s">
        <v>3782</v>
      </c>
    </row>
    <row r="909" spans="8:12">
      <c r="H909" s="1596" t="s">
        <v>3783</v>
      </c>
      <c r="I909" s="1709" t="s">
        <v>601</v>
      </c>
      <c r="J909" s="1709" t="s">
        <v>3784</v>
      </c>
    </row>
    <row r="910" spans="8:12">
      <c r="H910" s="1596" t="s">
        <v>3785</v>
      </c>
      <c r="I910" s="1709" t="s">
        <v>601</v>
      </c>
      <c r="J910" s="1709" t="s">
        <v>3786</v>
      </c>
    </row>
    <row r="911" spans="8:12">
      <c r="H911" s="1596" t="s">
        <v>3787</v>
      </c>
      <c r="I911" s="1709" t="s">
        <v>601</v>
      </c>
      <c r="J911" s="1709" t="s">
        <v>3788</v>
      </c>
    </row>
    <row r="912" spans="8:12">
      <c r="H912" s="1596" t="s">
        <v>3789</v>
      </c>
      <c r="I912" s="1709" t="s">
        <v>601</v>
      </c>
      <c r="J912" s="1709" t="s">
        <v>3790</v>
      </c>
    </row>
    <row r="913" spans="8:12">
      <c r="H913" s="1596" t="s">
        <v>3791</v>
      </c>
      <c r="I913" s="1709" t="s">
        <v>601</v>
      </c>
      <c r="J913" s="1709" t="s">
        <v>3792</v>
      </c>
    </row>
    <row r="914" spans="8:12">
      <c r="H914" s="1596" t="s">
        <v>3793</v>
      </c>
      <c r="I914" s="1709" t="s">
        <v>601</v>
      </c>
      <c r="J914" s="1709" t="s">
        <v>3794</v>
      </c>
    </row>
    <row r="915" spans="8:12">
      <c r="H915" s="1596" t="s">
        <v>3795</v>
      </c>
      <c r="I915" s="1709" t="s">
        <v>601</v>
      </c>
      <c r="J915" s="1709" t="s">
        <v>3796</v>
      </c>
    </row>
    <row r="916" spans="8:12">
      <c r="H916" s="1596" t="s">
        <v>3797</v>
      </c>
      <c r="I916" s="1709" t="s">
        <v>601</v>
      </c>
      <c r="J916" s="1709" t="s">
        <v>3798</v>
      </c>
    </row>
    <row r="917" spans="8:12">
      <c r="H917" s="1596" t="s">
        <v>3799</v>
      </c>
      <c r="I917" s="1709" t="s">
        <v>601</v>
      </c>
      <c r="J917" s="1709" t="s">
        <v>3800</v>
      </c>
    </row>
    <row r="918" spans="8:12">
      <c r="H918" s="1596" t="s">
        <v>3801</v>
      </c>
      <c r="I918" s="1709" t="s">
        <v>601</v>
      </c>
      <c r="J918" s="1709" t="s">
        <v>3802</v>
      </c>
    </row>
    <row r="919" spans="8:12">
      <c r="H919" s="1596" t="s">
        <v>3803</v>
      </c>
      <c r="I919" s="1709" t="s">
        <v>601</v>
      </c>
      <c r="J919" s="1709" t="s">
        <v>3804</v>
      </c>
    </row>
    <row r="920" spans="8:12">
      <c r="H920" s="1596" t="s">
        <v>3805</v>
      </c>
      <c r="I920" s="1709" t="s">
        <v>601</v>
      </c>
      <c r="J920" s="1709" t="s">
        <v>3806</v>
      </c>
    </row>
    <row r="921" spans="8:12">
      <c r="H921" s="1596" t="s">
        <v>5604</v>
      </c>
      <c r="I921" s="1709" t="s">
        <v>625</v>
      </c>
      <c r="K921" s="1709">
        <f>ROW()</f>
        <v>921</v>
      </c>
      <c r="L921" s="1709">
        <f>K921+COUNTIF($I$118:$I$1905,I921)-1</f>
        <v>938</v>
      </c>
    </row>
    <row r="922" spans="8:12">
      <c r="H922" s="1596" t="s">
        <v>1406</v>
      </c>
      <c r="I922" s="1709" t="s">
        <v>625</v>
      </c>
      <c r="J922" s="1709" t="s">
        <v>1526</v>
      </c>
    </row>
    <row r="923" spans="8:12">
      <c r="H923" s="1596" t="s">
        <v>3807</v>
      </c>
      <c r="I923" s="1709" t="s">
        <v>625</v>
      </c>
      <c r="J923" s="1709" t="s">
        <v>3808</v>
      </c>
    </row>
    <row r="924" spans="8:12">
      <c r="H924" s="1596" t="s">
        <v>3809</v>
      </c>
      <c r="I924" s="1709" t="s">
        <v>625</v>
      </c>
      <c r="J924" s="1709" t="s">
        <v>3810</v>
      </c>
    </row>
    <row r="925" spans="8:12">
      <c r="H925" s="1596" t="s">
        <v>3811</v>
      </c>
      <c r="I925" s="1709" t="s">
        <v>625</v>
      </c>
      <c r="J925" s="1709" t="s">
        <v>3812</v>
      </c>
    </row>
    <row r="926" spans="8:12">
      <c r="H926" s="1596" t="s">
        <v>3813</v>
      </c>
      <c r="I926" s="1709" t="s">
        <v>625</v>
      </c>
      <c r="J926" s="1709" t="s">
        <v>3814</v>
      </c>
    </row>
    <row r="927" spans="8:12">
      <c r="H927" s="1596" t="s">
        <v>3815</v>
      </c>
      <c r="I927" s="1709" t="s">
        <v>625</v>
      </c>
      <c r="J927" s="1709" t="s">
        <v>3816</v>
      </c>
    </row>
    <row r="928" spans="8:12">
      <c r="H928" s="1596" t="s">
        <v>3817</v>
      </c>
      <c r="I928" s="1709" t="s">
        <v>625</v>
      </c>
      <c r="J928" s="1709" t="s">
        <v>3818</v>
      </c>
    </row>
    <row r="929" spans="8:12">
      <c r="H929" s="1596" t="s">
        <v>3819</v>
      </c>
      <c r="I929" s="1709" t="s">
        <v>625</v>
      </c>
      <c r="J929" s="1709" t="s">
        <v>3820</v>
      </c>
    </row>
    <row r="930" spans="8:12">
      <c r="H930" s="1596" t="s">
        <v>3821</v>
      </c>
      <c r="I930" s="1709" t="s">
        <v>625</v>
      </c>
      <c r="J930" s="1709" t="s">
        <v>3822</v>
      </c>
    </row>
    <row r="931" spans="8:12">
      <c r="H931" s="1596" t="s">
        <v>3823</v>
      </c>
      <c r="I931" s="1709" t="s">
        <v>625</v>
      </c>
      <c r="J931" s="1709" t="s">
        <v>3824</v>
      </c>
    </row>
    <row r="932" spans="8:12">
      <c r="H932" s="1596" t="s">
        <v>3825</v>
      </c>
      <c r="I932" s="1709" t="s">
        <v>625</v>
      </c>
      <c r="J932" s="1709" t="s">
        <v>2696</v>
      </c>
    </row>
    <row r="933" spans="8:12">
      <c r="H933" s="1596" t="s">
        <v>3826</v>
      </c>
      <c r="I933" s="1709" t="s">
        <v>625</v>
      </c>
      <c r="J933" s="1709" t="s">
        <v>3827</v>
      </c>
    </row>
    <row r="934" spans="8:12">
      <c r="H934" s="1596" t="s">
        <v>3828</v>
      </c>
      <c r="I934" s="1709" t="s">
        <v>625</v>
      </c>
      <c r="J934" s="1709" t="s">
        <v>3829</v>
      </c>
    </row>
    <row r="935" spans="8:12">
      <c r="H935" s="1596" t="s">
        <v>3830</v>
      </c>
      <c r="I935" s="1709" t="s">
        <v>625</v>
      </c>
      <c r="J935" s="1709" t="s">
        <v>3831</v>
      </c>
    </row>
    <row r="936" spans="8:12">
      <c r="H936" s="1596" t="s">
        <v>3832</v>
      </c>
      <c r="I936" s="1709" t="s">
        <v>625</v>
      </c>
      <c r="J936" s="1709" t="s">
        <v>3833</v>
      </c>
    </row>
    <row r="937" spans="8:12">
      <c r="H937" s="1596" t="s">
        <v>3834</v>
      </c>
      <c r="I937" s="1709" t="s">
        <v>625</v>
      </c>
      <c r="J937" s="1709" t="s">
        <v>3835</v>
      </c>
    </row>
    <row r="938" spans="8:12">
      <c r="H938" s="1596" t="s">
        <v>3836</v>
      </c>
      <c r="I938" s="1709" t="s">
        <v>625</v>
      </c>
      <c r="J938" s="1709" t="s">
        <v>3837</v>
      </c>
    </row>
    <row r="939" spans="8:12">
      <c r="H939" s="1596" t="s">
        <v>5605</v>
      </c>
      <c r="I939" s="1709" t="s">
        <v>626</v>
      </c>
      <c r="K939" s="1709">
        <f>ROW()</f>
        <v>939</v>
      </c>
      <c r="L939" s="1709">
        <f>K939+COUNTIF($I$118:$I$1905,I939)-1</f>
        <v>966</v>
      </c>
    </row>
    <row r="940" spans="8:12">
      <c r="H940" s="1596" t="s">
        <v>1407</v>
      </c>
      <c r="I940" s="1709" t="s">
        <v>626</v>
      </c>
      <c r="J940" s="1709" t="s">
        <v>1527</v>
      </c>
    </row>
    <row r="941" spans="8:12">
      <c r="H941" s="1596" t="s">
        <v>3838</v>
      </c>
      <c r="I941" s="1709" t="s">
        <v>626</v>
      </c>
      <c r="J941" s="1709" t="s">
        <v>3839</v>
      </c>
    </row>
    <row r="942" spans="8:12">
      <c r="H942" s="1596" t="s">
        <v>3840</v>
      </c>
      <c r="I942" s="1709" t="s">
        <v>626</v>
      </c>
      <c r="J942" s="1709" t="s">
        <v>3841</v>
      </c>
    </row>
    <row r="943" spans="8:12">
      <c r="H943" s="1596" t="s">
        <v>3842</v>
      </c>
      <c r="I943" s="1709" t="s">
        <v>626</v>
      </c>
      <c r="J943" s="1709" t="s">
        <v>3843</v>
      </c>
    </row>
    <row r="944" spans="8:12">
      <c r="H944" s="1596" t="s">
        <v>3844</v>
      </c>
      <c r="I944" s="1709" t="s">
        <v>626</v>
      </c>
      <c r="J944" s="1709" t="s">
        <v>3845</v>
      </c>
    </row>
    <row r="945" spans="8:10">
      <c r="H945" s="1596" t="s">
        <v>3846</v>
      </c>
      <c r="I945" s="1709" t="s">
        <v>626</v>
      </c>
      <c r="J945" s="1709" t="s">
        <v>3847</v>
      </c>
    </row>
    <row r="946" spans="8:10">
      <c r="H946" s="1596" t="s">
        <v>3848</v>
      </c>
      <c r="I946" s="1709" t="s">
        <v>626</v>
      </c>
      <c r="J946" s="1709" t="s">
        <v>3849</v>
      </c>
    </row>
    <row r="947" spans="8:10">
      <c r="H947" s="1596" t="s">
        <v>3850</v>
      </c>
      <c r="I947" s="1709" t="s">
        <v>626</v>
      </c>
      <c r="J947" s="1709" t="s">
        <v>3851</v>
      </c>
    </row>
    <row r="948" spans="8:10">
      <c r="H948" s="1596" t="s">
        <v>3852</v>
      </c>
      <c r="I948" s="1709" t="s">
        <v>626</v>
      </c>
      <c r="J948" s="1709" t="s">
        <v>3853</v>
      </c>
    </row>
    <row r="949" spans="8:10">
      <c r="H949" s="1596" t="s">
        <v>3854</v>
      </c>
      <c r="I949" s="1709" t="s">
        <v>626</v>
      </c>
      <c r="J949" s="1709" t="s">
        <v>3855</v>
      </c>
    </row>
    <row r="950" spans="8:10">
      <c r="H950" s="1596" t="s">
        <v>3856</v>
      </c>
      <c r="I950" s="1709" t="s">
        <v>626</v>
      </c>
      <c r="J950" s="1709" t="s">
        <v>3857</v>
      </c>
    </row>
    <row r="951" spans="8:10">
      <c r="H951" s="1596" t="s">
        <v>3858</v>
      </c>
      <c r="I951" s="1709" t="s">
        <v>626</v>
      </c>
      <c r="J951" s="1709" t="s">
        <v>3859</v>
      </c>
    </row>
    <row r="952" spans="8:10">
      <c r="H952" s="1596" t="s">
        <v>3860</v>
      </c>
      <c r="I952" s="1709" t="s">
        <v>626</v>
      </c>
      <c r="J952" s="1709" t="s">
        <v>3861</v>
      </c>
    </row>
    <row r="953" spans="8:10">
      <c r="H953" s="1596" t="s">
        <v>3862</v>
      </c>
      <c r="I953" s="1709" t="s">
        <v>626</v>
      </c>
      <c r="J953" s="1709" t="s">
        <v>3863</v>
      </c>
    </row>
    <row r="954" spans="8:10">
      <c r="H954" s="1596" t="s">
        <v>3864</v>
      </c>
      <c r="I954" s="1709" t="s">
        <v>626</v>
      </c>
      <c r="J954" s="1709" t="s">
        <v>3865</v>
      </c>
    </row>
    <row r="955" spans="8:10">
      <c r="H955" s="1596" t="s">
        <v>3866</v>
      </c>
      <c r="I955" s="1709" t="s">
        <v>626</v>
      </c>
      <c r="J955" s="1709" t="s">
        <v>3867</v>
      </c>
    </row>
    <row r="956" spans="8:10">
      <c r="H956" s="1596" t="s">
        <v>3868</v>
      </c>
      <c r="I956" s="1709" t="s">
        <v>626</v>
      </c>
      <c r="J956" s="1709" t="s">
        <v>2799</v>
      </c>
    </row>
    <row r="957" spans="8:10">
      <c r="H957" s="1596" t="s">
        <v>3869</v>
      </c>
      <c r="I957" s="1709" t="s">
        <v>626</v>
      </c>
      <c r="J957" s="1709" t="s">
        <v>3870</v>
      </c>
    </row>
    <row r="958" spans="8:10">
      <c r="H958" s="1596" t="s">
        <v>3871</v>
      </c>
      <c r="I958" s="1709" t="s">
        <v>626</v>
      </c>
      <c r="J958" s="1709" t="s">
        <v>3872</v>
      </c>
    </row>
    <row r="959" spans="8:10">
      <c r="H959" s="1596" t="s">
        <v>3873</v>
      </c>
      <c r="I959" s="1709" t="s">
        <v>626</v>
      </c>
      <c r="J959" s="1709" t="s">
        <v>3874</v>
      </c>
    </row>
    <row r="960" spans="8:10">
      <c r="H960" s="1596" t="s">
        <v>3875</v>
      </c>
      <c r="I960" s="1709" t="s">
        <v>626</v>
      </c>
      <c r="J960" s="1709" t="s">
        <v>3876</v>
      </c>
    </row>
    <row r="961" spans="8:12">
      <c r="H961" s="1596" t="s">
        <v>3877</v>
      </c>
      <c r="I961" s="1709" t="s">
        <v>626</v>
      </c>
      <c r="J961" s="1709" t="s">
        <v>3878</v>
      </c>
    </row>
    <row r="962" spans="8:12">
      <c r="H962" s="1596" t="s">
        <v>3879</v>
      </c>
      <c r="I962" s="1709" t="s">
        <v>626</v>
      </c>
      <c r="J962" s="1709" t="s">
        <v>3880</v>
      </c>
    </row>
    <row r="963" spans="8:12">
      <c r="H963" s="1596" t="s">
        <v>3881</v>
      </c>
      <c r="I963" s="1709" t="s">
        <v>626</v>
      </c>
      <c r="J963" s="1709" t="s">
        <v>3882</v>
      </c>
    </row>
    <row r="964" spans="8:12">
      <c r="H964" s="1596" t="s">
        <v>3883</v>
      </c>
      <c r="I964" s="1709" t="s">
        <v>626</v>
      </c>
      <c r="J964" s="1709" t="s">
        <v>3884</v>
      </c>
    </row>
    <row r="965" spans="8:12">
      <c r="H965" s="1596" t="s">
        <v>3885</v>
      </c>
      <c r="I965" s="1709" t="s">
        <v>626</v>
      </c>
      <c r="J965" s="1709" t="s">
        <v>3886</v>
      </c>
    </row>
    <row r="966" spans="8:12">
      <c r="H966" s="1596" t="s">
        <v>3887</v>
      </c>
      <c r="I966" s="1709" t="s">
        <v>626</v>
      </c>
      <c r="J966" s="1709" t="s">
        <v>3888</v>
      </c>
    </row>
    <row r="967" spans="8:12">
      <c r="H967" s="1596" t="s">
        <v>5606</v>
      </c>
      <c r="I967" s="1709" t="s">
        <v>602</v>
      </c>
      <c r="K967" s="1709">
        <f>ROW()</f>
        <v>967</v>
      </c>
      <c r="L967" s="1709">
        <f>K967+COUNTIF($I$118:$I$1905,I967)-1</f>
        <v>1044</v>
      </c>
    </row>
    <row r="968" spans="8:12">
      <c r="H968" s="1596" t="s">
        <v>1360</v>
      </c>
      <c r="I968" s="1709" t="s">
        <v>602</v>
      </c>
      <c r="J968" s="1709" t="s">
        <v>1481</v>
      </c>
    </row>
    <row r="969" spans="8:12">
      <c r="H969" s="1596" t="s">
        <v>1408</v>
      </c>
      <c r="I969" s="1709" t="s">
        <v>602</v>
      </c>
      <c r="J969" s="1709" t="s">
        <v>1528</v>
      </c>
    </row>
    <row r="970" spans="8:12">
      <c r="H970" s="1596" t="s">
        <v>3889</v>
      </c>
      <c r="I970" s="1709" t="s">
        <v>602</v>
      </c>
      <c r="J970" s="1709" t="s">
        <v>3890</v>
      </c>
    </row>
    <row r="971" spans="8:12">
      <c r="H971" s="1596" t="s">
        <v>3891</v>
      </c>
      <c r="I971" s="1709" t="s">
        <v>602</v>
      </c>
      <c r="J971" s="1709" t="s">
        <v>3892</v>
      </c>
    </row>
    <row r="972" spans="8:12">
      <c r="H972" s="1596" t="s">
        <v>3893</v>
      </c>
      <c r="I972" s="1709" t="s">
        <v>602</v>
      </c>
      <c r="J972" s="1709" t="s">
        <v>3894</v>
      </c>
    </row>
    <row r="973" spans="8:12">
      <c r="H973" s="1596" t="s">
        <v>3895</v>
      </c>
      <c r="I973" s="1709" t="s">
        <v>602</v>
      </c>
      <c r="J973" s="1709" t="s">
        <v>3896</v>
      </c>
    </row>
    <row r="974" spans="8:12">
      <c r="H974" s="1596" t="s">
        <v>3897</v>
      </c>
      <c r="I974" s="1709" t="s">
        <v>602</v>
      </c>
      <c r="J974" s="1709" t="s">
        <v>3898</v>
      </c>
    </row>
    <row r="975" spans="8:12">
      <c r="H975" s="1596" t="s">
        <v>3899</v>
      </c>
      <c r="I975" s="1709" t="s">
        <v>602</v>
      </c>
      <c r="J975" s="1709" t="s">
        <v>3900</v>
      </c>
    </row>
    <row r="976" spans="8:12">
      <c r="H976" s="1596" t="s">
        <v>3901</v>
      </c>
      <c r="I976" s="1709" t="s">
        <v>602</v>
      </c>
      <c r="J976" s="1709" t="s">
        <v>3902</v>
      </c>
    </row>
    <row r="977" spans="8:10">
      <c r="H977" s="1596" t="s">
        <v>3903</v>
      </c>
      <c r="I977" s="1709" t="s">
        <v>602</v>
      </c>
      <c r="J977" s="1709" t="s">
        <v>3904</v>
      </c>
    </row>
    <row r="978" spans="8:10">
      <c r="H978" s="1596" t="s">
        <v>3905</v>
      </c>
      <c r="I978" s="1709" t="s">
        <v>602</v>
      </c>
      <c r="J978" s="1709" t="s">
        <v>3906</v>
      </c>
    </row>
    <row r="979" spans="8:10">
      <c r="H979" s="1596" t="s">
        <v>3907</v>
      </c>
      <c r="I979" s="1709" t="s">
        <v>602</v>
      </c>
      <c r="J979" s="1709" t="s">
        <v>3908</v>
      </c>
    </row>
    <row r="980" spans="8:10">
      <c r="H980" s="1596" t="s">
        <v>3909</v>
      </c>
      <c r="I980" s="1709" t="s">
        <v>602</v>
      </c>
      <c r="J980" s="1709" t="s">
        <v>3910</v>
      </c>
    </row>
    <row r="981" spans="8:10">
      <c r="H981" s="1596" t="s">
        <v>3911</v>
      </c>
      <c r="I981" s="1709" t="s">
        <v>602</v>
      </c>
      <c r="J981" s="1709" t="s">
        <v>3912</v>
      </c>
    </row>
    <row r="982" spans="8:10">
      <c r="H982" s="1596" t="s">
        <v>3913</v>
      </c>
      <c r="I982" s="1709" t="s">
        <v>602</v>
      </c>
      <c r="J982" s="1709" t="s">
        <v>3914</v>
      </c>
    </row>
    <row r="983" spans="8:10">
      <c r="H983" s="1596" t="s">
        <v>3915</v>
      </c>
      <c r="I983" s="1709" t="s">
        <v>602</v>
      </c>
      <c r="J983" s="1709" t="s">
        <v>3916</v>
      </c>
    </row>
    <row r="984" spans="8:10">
      <c r="H984" s="1596" t="s">
        <v>3917</v>
      </c>
      <c r="I984" s="1709" t="s">
        <v>602</v>
      </c>
      <c r="J984" s="1709" t="s">
        <v>3918</v>
      </c>
    </row>
    <row r="985" spans="8:10">
      <c r="H985" s="1596" t="s">
        <v>3919</v>
      </c>
      <c r="I985" s="1709" t="s">
        <v>602</v>
      </c>
      <c r="J985" s="1709" t="s">
        <v>3920</v>
      </c>
    </row>
    <row r="986" spans="8:10">
      <c r="H986" s="1596" t="s">
        <v>3921</v>
      </c>
      <c r="I986" s="1709" t="s">
        <v>602</v>
      </c>
      <c r="J986" s="1709" t="s">
        <v>3922</v>
      </c>
    </row>
    <row r="987" spans="8:10">
      <c r="H987" s="1596" t="s">
        <v>3923</v>
      </c>
      <c r="I987" s="1709" t="s">
        <v>602</v>
      </c>
      <c r="J987" s="1709" t="s">
        <v>3924</v>
      </c>
    </row>
    <row r="988" spans="8:10">
      <c r="H988" s="1596" t="s">
        <v>3925</v>
      </c>
      <c r="I988" s="1709" t="s">
        <v>602</v>
      </c>
      <c r="J988" s="1709" t="s">
        <v>3926</v>
      </c>
    </row>
    <row r="989" spans="8:10">
      <c r="H989" s="1596" t="s">
        <v>3927</v>
      </c>
      <c r="I989" s="1709" t="s">
        <v>602</v>
      </c>
      <c r="J989" s="1709" t="s">
        <v>3321</v>
      </c>
    </row>
    <row r="990" spans="8:10">
      <c r="H990" s="1596" t="s">
        <v>3928</v>
      </c>
      <c r="I990" s="1709" t="s">
        <v>602</v>
      </c>
      <c r="J990" s="1709" t="s">
        <v>3929</v>
      </c>
    </row>
    <row r="991" spans="8:10">
      <c r="H991" s="1596" t="s">
        <v>3930</v>
      </c>
      <c r="I991" s="1709" t="s">
        <v>602</v>
      </c>
      <c r="J991" s="1709" t="s">
        <v>3931</v>
      </c>
    </row>
    <row r="992" spans="8:10">
      <c r="H992" s="1596" t="s">
        <v>3932</v>
      </c>
      <c r="I992" s="1709" t="s">
        <v>602</v>
      </c>
      <c r="J992" s="1709" t="s">
        <v>3933</v>
      </c>
    </row>
    <row r="993" spans="8:10">
      <c r="H993" s="1596" t="s">
        <v>3934</v>
      </c>
      <c r="I993" s="1709" t="s">
        <v>602</v>
      </c>
      <c r="J993" s="1709" t="s">
        <v>3935</v>
      </c>
    </row>
    <row r="994" spans="8:10">
      <c r="H994" s="1596" t="s">
        <v>3936</v>
      </c>
      <c r="I994" s="1709" t="s">
        <v>602</v>
      </c>
      <c r="J994" s="1709" t="s">
        <v>3937</v>
      </c>
    </row>
    <row r="995" spans="8:10">
      <c r="H995" s="1596" t="s">
        <v>3938</v>
      </c>
      <c r="I995" s="1709" t="s">
        <v>602</v>
      </c>
      <c r="J995" s="1709" t="s">
        <v>3939</v>
      </c>
    </row>
    <row r="996" spans="8:10">
      <c r="H996" s="1596" t="s">
        <v>3940</v>
      </c>
      <c r="I996" s="1709" t="s">
        <v>602</v>
      </c>
      <c r="J996" s="1709" t="s">
        <v>3941</v>
      </c>
    </row>
    <row r="997" spans="8:10">
      <c r="H997" s="1596" t="s">
        <v>3942</v>
      </c>
      <c r="I997" s="1709" t="s">
        <v>602</v>
      </c>
      <c r="J997" s="1709" t="s">
        <v>3943</v>
      </c>
    </row>
    <row r="998" spans="8:10">
      <c r="H998" s="1596" t="s">
        <v>3944</v>
      </c>
      <c r="I998" s="1709" t="s">
        <v>602</v>
      </c>
      <c r="J998" s="1709" t="s">
        <v>3945</v>
      </c>
    </row>
    <row r="999" spans="8:10">
      <c r="H999" s="1596" t="s">
        <v>3946</v>
      </c>
      <c r="I999" s="1709" t="s">
        <v>602</v>
      </c>
      <c r="J999" s="1709" t="s">
        <v>3947</v>
      </c>
    </row>
    <row r="1000" spans="8:10">
      <c r="H1000" s="1596" t="s">
        <v>3948</v>
      </c>
      <c r="I1000" s="1709" t="s">
        <v>602</v>
      </c>
      <c r="J1000" s="1709" t="s">
        <v>3949</v>
      </c>
    </row>
    <row r="1001" spans="8:10">
      <c r="H1001" s="1596" t="s">
        <v>3950</v>
      </c>
      <c r="I1001" s="1709" t="s">
        <v>602</v>
      </c>
      <c r="J1001" s="1709" t="s">
        <v>3951</v>
      </c>
    </row>
    <row r="1002" spans="8:10">
      <c r="H1002" s="1596" t="s">
        <v>3952</v>
      </c>
      <c r="I1002" s="1709" t="s">
        <v>602</v>
      </c>
      <c r="J1002" s="1709" t="s">
        <v>3953</v>
      </c>
    </row>
    <row r="1003" spans="8:10">
      <c r="H1003" s="1596" t="s">
        <v>3954</v>
      </c>
      <c r="I1003" s="1709" t="s">
        <v>602</v>
      </c>
      <c r="J1003" s="1709" t="s">
        <v>3955</v>
      </c>
    </row>
    <row r="1004" spans="8:10">
      <c r="H1004" s="1596" t="s">
        <v>3956</v>
      </c>
      <c r="I1004" s="1709" t="s">
        <v>602</v>
      </c>
      <c r="J1004" s="1709" t="s">
        <v>3957</v>
      </c>
    </row>
    <row r="1005" spans="8:10">
      <c r="H1005" s="1596" t="s">
        <v>3958</v>
      </c>
      <c r="I1005" s="1709" t="s">
        <v>602</v>
      </c>
      <c r="J1005" s="1709" t="s">
        <v>3959</v>
      </c>
    </row>
    <row r="1006" spans="8:10">
      <c r="H1006" s="1596" t="s">
        <v>3960</v>
      </c>
      <c r="I1006" s="1709" t="s">
        <v>602</v>
      </c>
      <c r="J1006" s="1709" t="s">
        <v>3961</v>
      </c>
    </row>
    <row r="1007" spans="8:10">
      <c r="H1007" s="1596" t="s">
        <v>3962</v>
      </c>
      <c r="I1007" s="1709" t="s">
        <v>602</v>
      </c>
      <c r="J1007" s="1709" t="s">
        <v>3963</v>
      </c>
    </row>
    <row r="1008" spans="8:10">
      <c r="H1008" s="1596" t="s">
        <v>3964</v>
      </c>
      <c r="I1008" s="1709" t="s">
        <v>602</v>
      </c>
      <c r="J1008" s="1709" t="s">
        <v>3965</v>
      </c>
    </row>
    <row r="1009" spans="8:10">
      <c r="H1009" s="1596" t="s">
        <v>3966</v>
      </c>
      <c r="I1009" s="1709" t="s">
        <v>602</v>
      </c>
      <c r="J1009" s="1709" t="s">
        <v>3967</v>
      </c>
    </row>
    <row r="1010" spans="8:10">
      <c r="H1010" s="1596" t="s">
        <v>3968</v>
      </c>
      <c r="I1010" s="1709" t="s">
        <v>602</v>
      </c>
      <c r="J1010" s="1709" t="s">
        <v>3969</v>
      </c>
    </row>
    <row r="1011" spans="8:10">
      <c r="H1011" s="1596" t="s">
        <v>3970</v>
      </c>
      <c r="I1011" s="1709" t="s">
        <v>602</v>
      </c>
      <c r="J1011" s="1709" t="s">
        <v>3971</v>
      </c>
    </row>
    <row r="1012" spans="8:10">
      <c r="H1012" s="1596" t="s">
        <v>3972</v>
      </c>
      <c r="I1012" s="1709" t="s">
        <v>602</v>
      </c>
      <c r="J1012" s="1709" t="s">
        <v>3973</v>
      </c>
    </row>
    <row r="1013" spans="8:10">
      <c r="H1013" s="1596" t="s">
        <v>3974</v>
      </c>
      <c r="I1013" s="1709" t="s">
        <v>602</v>
      </c>
      <c r="J1013" s="1709" t="s">
        <v>3975</v>
      </c>
    </row>
    <row r="1014" spans="8:10">
      <c r="H1014" s="1596" t="s">
        <v>3976</v>
      </c>
      <c r="I1014" s="1709" t="s">
        <v>602</v>
      </c>
      <c r="J1014" s="1709" t="s">
        <v>3977</v>
      </c>
    </row>
    <row r="1015" spans="8:10">
      <c r="H1015" s="1596" t="s">
        <v>3978</v>
      </c>
      <c r="I1015" s="1709" t="s">
        <v>602</v>
      </c>
      <c r="J1015" s="1709" t="s">
        <v>3979</v>
      </c>
    </row>
    <row r="1016" spans="8:10">
      <c r="H1016" s="1596" t="s">
        <v>3980</v>
      </c>
      <c r="I1016" s="1709" t="s">
        <v>602</v>
      </c>
      <c r="J1016" s="1709" t="s">
        <v>3981</v>
      </c>
    </row>
    <row r="1017" spans="8:10">
      <c r="H1017" s="1596" t="s">
        <v>3982</v>
      </c>
      <c r="I1017" s="1709" t="s">
        <v>602</v>
      </c>
      <c r="J1017" s="1709" t="s">
        <v>3983</v>
      </c>
    </row>
    <row r="1018" spans="8:10">
      <c r="H1018" s="1596" t="s">
        <v>3984</v>
      </c>
      <c r="I1018" s="1709" t="s">
        <v>602</v>
      </c>
      <c r="J1018" s="1709" t="s">
        <v>3985</v>
      </c>
    </row>
    <row r="1019" spans="8:10">
      <c r="H1019" s="1596" t="s">
        <v>3986</v>
      </c>
      <c r="I1019" s="1709" t="s">
        <v>602</v>
      </c>
      <c r="J1019" s="1709" t="s">
        <v>3987</v>
      </c>
    </row>
    <row r="1020" spans="8:10">
      <c r="H1020" s="1596" t="s">
        <v>3988</v>
      </c>
      <c r="I1020" s="1709" t="s">
        <v>602</v>
      </c>
      <c r="J1020" s="1709" t="s">
        <v>3989</v>
      </c>
    </row>
    <row r="1021" spans="8:10">
      <c r="H1021" s="1596" t="s">
        <v>3990</v>
      </c>
      <c r="I1021" s="1709" t="s">
        <v>602</v>
      </c>
      <c r="J1021" s="1709" t="s">
        <v>3991</v>
      </c>
    </row>
    <row r="1022" spans="8:10">
      <c r="H1022" s="1596" t="s">
        <v>3992</v>
      </c>
      <c r="I1022" s="1709" t="s">
        <v>602</v>
      </c>
      <c r="J1022" s="1709" t="s">
        <v>3993</v>
      </c>
    </row>
    <row r="1023" spans="8:10">
      <c r="H1023" s="1596" t="s">
        <v>3994</v>
      </c>
      <c r="I1023" s="1709" t="s">
        <v>602</v>
      </c>
      <c r="J1023" s="1709" t="s">
        <v>3995</v>
      </c>
    </row>
    <row r="1024" spans="8:10">
      <c r="H1024" s="1596" t="s">
        <v>3996</v>
      </c>
      <c r="I1024" s="1709" t="s">
        <v>602</v>
      </c>
      <c r="J1024" s="1709" t="s">
        <v>3997</v>
      </c>
    </row>
    <row r="1025" spans="8:10">
      <c r="H1025" s="1596" t="s">
        <v>3998</v>
      </c>
      <c r="I1025" s="1709" t="s">
        <v>602</v>
      </c>
      <c r="J1025" s="1709" t="s">
        <v>3999</v>
      </c>
    </row>
    <row r="1026" spans="8:10">
      <c r="H1026" s="1596" t="s">
        <v>4000</v>
      </c>
      <c r="I1026" s="1709" t="s">
        <v>602</v>
      </c>
      <c r="J1026" s="1709" t="s">
        <v>4001</v>
      </c>
    </row>
    <row r="1027" spans="8:10">
      <c r="H1027" s="1596" t="s">
        <v>4002</v>
      </c>
      <c r="I1027" s="1709" t="s">
        <v>602</v>
      </c>
      <c r="J1027" s="1709" t="s">
        <v>4003</v>
      </c>
    </row>
    <row r="1028" spans="8:10">
      <c r="H1028" s="1596" t="s">
        <v>4004</v>
      </c>
      <c r="I1028" s="1709" t="s">
        <v>602</v>
      </c>
      <c r="J1028" s="1709" t="s">
        <v>4005</v>
      </c>
    </row>
    <row r="1029" spans="8:10">
      <c r="H1029" s="1596" t="s">
        <v>4006</v>
      </c>
      <c r="I1029" s="1709" t="s">
        <v>602</v>
      </c>
      <c r="J1029" s="1709" t="s">
        <v>4007</v>
      </c>
    </row>
    <row r="1030" spans="8:10">
      <c r="H1030" s="1596" t="s">
        <v>4008</v>
      </c>
      <c r="I1030" s="1709" t="s">
        <v>602</v>
      </c>
      <c r="J1030" s="1709" t="s">
        <v>4009</v>
      </c>
    </row>
    <row r="1031" spans="8:10">
      <c r="H1031" s="1596" t="s">
        <v>4010</v>
      </c>
      <c r="I1031" s="1709" t="s">
        <v>602</v>
      </c>
      <c r="J1031" s="1709" t="s">
        <v>2696</v>
      </c>
    </row>
    <row r="1032" spans="8:10">
      <c r="H1032" s="1596" t="s">
        <v>4011</v>
      </c>
      <c r="I1032" s="1709" t="s">
        <v>602</v>
      </c>
      <c r="J1032" s="1709" t="s">
        <v>4012</v>
      </c>
    </row>
    <row r="1033" spans="8:10">
      <c r="H1033" s="1596" t="s">
        <v>4013</v>
      </c>
      <c r="I1033" s="1709" t="s">
        <v>602</v>
      </c>
      <c r="J1033" s="1709" t="s">
        <v>4014</v>
      </c>
    </row>
    <row r="1034" spans="8:10">
      <c r="H1034" s="1596" t="s">
        <v>4015</v>
      </c>
      <c r="I1034" s="1709" t="s">
        <v>602</v>
      </c>
      <c r="J1034" s="1709" t="s">
        <v>4016</v>
      </c>
    </row>
    <row r="1035" spans="8:10">
      <c r="H1035" s="1596" t="s">
        <v>4017</v>
      </c>
      <c r="I1035" s="1709" t="s">
        <v>602</v>
      </c>
      <c r="J1035" s="1709" t="s">
        <v>4018</v>
      </c>
    </row>
    <row r="1036" spans="8:10">
      <c r="H1036" s="1596" t="s">
        <v>4019</v>
      </c>
      <c r="I1036" s="1709" t="s">
        <v>602</v>
      </c>
      <c r="J1036" s="1709" t="s">
        <v>4020</v>
      </c>
    </row>
    <row r="1037" spans="8:10">
      <c r="H1037" s="1596" t="s">
        <v>4021</v>
      </c>
      <c r="I1037" s="1709" t="s">
        <v>602</v>
      </c>
      <c r="J1037" s="1709" t="s">
        <v>3333</v>
      </c>
    </row>
    <row r="1038" spans="8:10">
      <c r="H1038" s="1596" t="s">
        <v>4022</v>
      </c>
      <c r="I1038" s="1709" t="s">
        <v>602</v>
      </c>
      <c r="J1038" s="1709" t="s">
        <v>4023</v>
      </c>
    </row>
    <row r="1039" spans="8:10">
      <c r="H1039" s="1596" t="s">
        <v>4024</v>
      </c>
      <c r="I1039" s="1709" t="s">
        <v>602</v>
      </c>
      <c r="J1039" s="1709" t="s">
        <v>4025</v>
      </c>
    </row>
    <row r="1040" spans="8:10">
      <c r="H1040" s="1596" t="s">
        <v>4026</v>
      </c>
      <c r="I1040" s="1709" t="s">
        <v>602</v>
      </c>
      <c r="J1040" s="1709" t="s">
        <v>4027</v>
      </c>
    </row>
    <row r="1041" spans="8:12">
      <c r="H1041" s="1596" t="s">
        <v>4028</v>
      </c>
      <c r="I1041" s="1709" t="s">
        <v>602</v>
      </c>
      <c r="J1041" s="1709" t="s">
        <v>4029</v>
      </c>
    </row>
    <row r="1042" spans="8:12">
      <c r="H1042" s="1596" t="s">
        <v>4030</v>
      </c>
      <c r="I1042" s="1709" t="s">
        <v>602</v>
      </c>
      <c r="J1042" s="1709" t="s">
        <v>4031</v>
      </c>
    </row>
    <row r="1043" spans="8:12">
      <c r="H1043" s="1596" t="s">
        <v>4032</v>
      </c>
      <c r="I1043" s="1709" t="s">
        <v>602</v>
      </c>
      <c r="J1043" s="1709" t="s">
        <v>4033</v>
      </c>
    </row>
    <row r="1044" spans="8:12">
      <c r="H1044" s="1596" t="s">
        <v>4034</v>
      </c>
      <c r="I1044" s="1709" t="s">
        <v>602</v>
      </c>
      <c r="J1044" s="1709" t="s">
        <v>4035</v>
      </c>
    </row>
    <row r="1045" spans="8:12">
      <c r="H1045" s="1596" t="s">
        <v>5607</v>
      </c>
      <c r="I1045" s="1709" t="s">
        <v>603</v>
      </c>
      <c r="K1045" s="1709">
        <f>ROW()</f>
        <v>1045</v>
      </c>
      <c r="L1045" s="1709">
        <f>K1045+COUNTIF($I$118:$I$1905,I1045)-1</f>
        <v>1087</v>
      </c>
    </row>
    <row r="1046" spans="8:12">
      <c r="H1046" s="1596" t="s">
        <v>1361</v>
      </c>
      <c r="I1046" s="1709" t="s">
        <v>603</v>
      </c>
      <c r="J1046" s="1709" t="s">
        <v>1482</v>
      </c>
    </row>
    <row r="1047" spans="8:12">
      <c r="H1047" s="1596" t="s">
        <v>4036</v>
      </c>
      <c r="I1047" s="1709" t="s">
        <v>603</v>
      </c>
      <c r="J1047" s="1709" t="s">
        <v>4037</v>
      </c>
    </row>
    <row r="1048" spans="8:12">
      <c r="H1048" s="1596" t="s">
        <v>4038</v>
      </c>
      <c r="I1048" s="1709" t="s">
        <v>603</v>
      </c>
      <c r="J1048" s="1709" t="s">
        <v>4039</v>
      </c>
    </row>
    <row r="1049" spans="8:12">
      <c r="H1049" s="1596" t="s">
        <v>4040</v>
      </c>
      <c r="I1049" s="1709" t="s">
        <v>603</v>
      </c>
      <c r="J1049" s="1709" t="s">
        <v>4041</v>
      </c>
    </row>
    <row r="1050" spans="8:12">
      <c r="H1050" s="1596" t="s">
        <v>4042</v>
      </c>
      <c r="I1050" s="1709" t="s">
        <v>603</v>
      </c>
      <c r="J1050" s="1709" t="s">
        <v>4043</v>
      </c>
    </row>
    <row r="1051" spans="8:12">
      <c r="H1051" s="1596" t="s">
        <v>4044</v>
      </c>
      <c r="I1051" s="1709" t="s">
        <v>603</v>
      </c>
      <c r="J1051" s="1709" t="s">
        <v>4045</v>
      </c>
    </row>
    <row r="1052" spans="8:12">
      <c r="H1052" s="1596" t="s">
        <v>4046</v>
      </c>
      <c r="I1052" s="1709" t="s">
        <v>603</v>
      </c>
      <c r="J1052" s="1709" t="s">
        <v>4047</v>
      </c>
    </row>
    <row r="1053" spans="8:12">
      <c r="H1053" s="1596" t="s">
        <v>4048</v>
      </c>
      <c r="I1053" s="1709" t="s">
        <v>603</v>
      </c>
      <c r="J1053" s="1709" t="s">
        <v>4049</v>
      </c>
    </row>
    <row r="1054" spans="8:12">
      <c r="H1054" s="1596" t="s">
        <v>4050</v>
      </c>
      <c r="I1054" s="1709" t="s">
        <v>603</v>
      </c>
      <c r="J1054" s="1709" t="s">
        <v>4051</v>
      </c>
    </row>
    <row r="1055" spans="8:12">
      <c r="H1055" s="1596" t="s">
        <v>4052</v>
      </c>
      <c r="I1055" s="1709" t="s">
        <v>603</v>
      </c>
      <c r="J1055" s="1709" t="s">
        <v>4053</v>
      </c>
    </row>
    <row r="1056" spans="8:12">
      <c r="H1056" s="1596" t="s">
        <v>4054</v>
      </c>
      <c r="I1056" s="1709" t="s">
        <v>603</v>
      </c>
      <c r="J1056" s="1709" t="s">
        <v>4055</v>
      </c>
    </row>
    <row r="1057" spans="8:10">
      <c r="H1057" s="1596" t="s">
        <v>4056</v>
      </c>
      <c r="I1057" s="1709" t="s">
        <v>603</v>
      </c>
      <c r="J1057" s="1709" t="s">
        <v>4057</v>
      </c>
    </row>
    <row r="1058" spans="8:10">
      <c r="H1058" s="1596" t="s">
        <v>4058</v>
      </c>
      <c r="I1058" s="1709" t="s">
        <v>603</v>
      </c>
      <c r="J1058" s="1709" t="s">
        <v>4059</v>
      </c>
    </row>
    <row r="1059" spans="8:10">
      <c r="H1059" s="1596" t="s">
        <v>4060</v>
      </c>
      <c r="I1059" s="1709" t="s">
        <v>603</v>
      </c>
      <c r="J1059" s="1709" t="s">
        <v>4061</v>
      </c>
    </row>
    <row r="1060" spans="8:10">
      <c r="H1060" s="1596" t="s">
        <v>4062</v>
      </c>
      <c r="I1060" s="1709" t="s">
        <v>603</v>
      </c>
      <c r="J1060" s="1709" t="s">
        <v>4063</v>
      </c>
    </row>
    <row r="1061" spans="8:10">
      <c r="H1061" s="1596" t="s">
        <v>4064</v>
      </c>
      <c r="I1061" s="1709" t="s">
        <v>603</v>
      </c>
      <c r="J1061" s="1709" t="s">
        <v>4065</v>
      </c>
    </row>
    <row r="1062" spans="8:10">
      <c r="H1062" s="1596" t="s">
        <v>4066</v>
      </c>
      <c r="I1062" s="1709" t="s">
        <v>603</v>
      </c>
      <c r="J1062" s="1709" t="s">
        <v>4067</v>
      </c>
    </row>
    <row r="1063" spans="8:10">
      <c r="H1063" s="1596" t="s">
        <v>4068</v>
      </c>
      <c r="I1063" s="1709" t="s">
        <v>603</v>
      </c>
      <c r="J1063" s="1709" t="s">
        <v>4069</v>
      </c>
    </row>
    <row r="1064" spans="8:10">
      <c r="H1064" s="1596" t="s">
        <v>4070</v>
      </c>
      <c r="I1064" s="1709" t="s">
        <v>603</v>
      </c>
      <c r="J1064" s="1709" t="s">
        <v>4071</v>
      </c>
    </row>
    <row r="1065" spans="8:10">
      <c r="H1065" s="1596" t="s">
        <v>4072</v>
      </c>
      <c r="I1065" s="1709" t="s">
        <v>603</v>
      </c>
      <c r="J1065" s="1709" t="s">
        <v>4073</v>
      </c>
    </row>
    <row r="1066" spans="8:10">
      <c r="H1066" s="1596" t="s">
        <v>4074</v>
      </c>
      <c r="I1066" s="1709" t="s">
        <v>603</v>
      </c>
      <c r="J1066" s="1709" t="s">
        <v>4075</v>
      </c>
    </row>
    <row r="1067" spans="8:10">
      <c r="H1067" s="1596" t="s">
        <v>4076</v>
      </c>
      <c r="I1067" s="1709" t="s">
        <v>603</v>
      </c>
      <c r="J1067" s="1709" t="s">
        <v>4077</v>
      </c>
    </row>
    <row r="1068" spans="8:10">
      <c r="H1068" s="1596" t="s">
        <v>4078</v>
      </c>
      <c r="I1068" s="1709" t="s">
        <v>603</v>
      </c>
      <c r="J1068" s="1709" t="s">
        <v>4079</v>
      </c>
    </row>
    <row r="1069" spans="8:10">
      <c r="H1069" s="1596" t="s">
        <v>4080</v>
      </c>
      <c r="I1069" s="1709" t="s">
        <v>603</v>
      </c>
      <c r="J1069" s="1709" t="s">
        <v>4081</v>
      </c>
    </row>
    <row r="1070" spans="8:10">
      <c r="H1070" s="1596" t="s">
        <v>4082</v>
      </c>
      <c r="I1070" s="1709" t="s">
        <v>603</v>
      </c>
      <c r="J1070" s="1709" t="s">
        <v>4083</v>
      </c>
    </row>
    <row r="1071" spans="8:10">
      <c r="H1071" s="1596" t="s">
        <v>4084</v>
      </c>
      <c r="I1071" s="1709" t="s">
        <v>603</v>
      </c>
      <c r="J1071" s="1709" t="s">
        <v>4085</v>
      </c>
    </row>
    <row r="1072" spans="8:10">
      <c r="H1072" s="1596" t="s">
        <v>4086</v>
      </c>
      <c r="I1072" s="1709" t="s">
        <v>603</v>
      </c>
      <c r="J1072" s="1709" t="s">
        <v>4087</v>
      </c>
    </row>
    <row r="1073" spans="8:12">
      <c r="H1073" s="1596" t="s">
        <v>4088</v>
      </c>
      <c r="I1073" s="1709" t="s">
        <v>603</v>
      </c>
      <c r="J1073" s="1709" t="s">
        <v>4089</v>
      </c>
    </row>
    <row r="1074" spans="8:12">
      <c r="H1074" s="1596" t="s">
        <v>4090</v>
      </c>
      <c r="I1074" s="1709" t="s">
        <v>603</v>
      </c>
      <c r="J1074" s="1709" t="s">
        <v>4091</v>
      </c>
    </row>
    <row r="1075" spans="8:12">
      <c r="H1075" s="1596" t="s">
        <v>4092</v>
      </c>
      <c r="I1075" s="1709" t="s">
        <v>603</v>
      </c>
      <c r="J1075" s="1709" t="s">
        <v>4093</v>
      </c>
    </row>
    <row r="1076" spans="8:12">
      <c r="H1076" s="1596" t="s">
        <v>4094</v>
      </c>
      <c r="I1076" s="1709" t="s">
        <v>603</v>
      </c>
      <c r="J1076" s="1709" t="s">
        <v>4095</v>
      </c>
    </row>
    <row r="1077" spans="8:12">
      <c r="H1077" s="1596" t="s">
        <v>4096</v>
      </c>
      <c r="I1077" s="1709" t="s">
        <v>603</v>
      </c>
      <c r="J1077" s="1709" t="s">
        <v>2696</v>
      </c>
    </row>
    <row r="1078" spans="8:12">
      <c r="H1078" s="1596" t="s">
        <v>4097</v>
      </c>
      <c r="I1078" s="1709" t="s">
        <v>603</v>
      </c>
      <c r="J1078" s="1709" t="s">
        <v>4098</v>
      </c>
    </row>
    <row r="1079" spans="8:12">
      <c r="H1079" s="1596" t="s">
        <v>4099</v>
      </c>
      <c r="I1079" s="1709" t="s">
        <v>603</v>
      </c>
      <c r="J1079" s="1709" t="s">
        <v>4100</v>
      </c>
    </row>
    <row r="1080" spans="8:12">
      <c r="H1080" s="1596" t="s">
        <v>4101</v>
      </c>
      <c r="I1080" s="1709" t="s">
        <v>603</v>
      </c>
      <c r="J1080" s="1709" t="s">
        <v>4102</v>
      </c>
    </row>
    <row r="1081" spans="8:12">
      <c r="H1081" s="1596" t="s">
        <v>4103</v>
      </c>
      <c r="I1081" s="1709" t="s">
        <v>603</v>
      </c>
      <c r="J1081" s="1709" t="s">
        <v>4104</v>
      </c>
    </row>
    <row r="1082" spans="8:12">
      <c r="H1082" s="1596" t="s">
        <v>4105</v>
      </c>
      <c r="I1082" s="1709" t="s">
        <v>603</v>
      </c>
      <c r="J1082" s="1709" t="s">
        <v>4106</v>
      </c>
    </row>
    <row r="1083" spans="8:12">
      <c r="H1083" s="1596" t="s">
        <v>4107</v>
      </c>
      <c r="I1083" s="1709" t="s">
        <v>603</v>
      </c>
      <c r="J1083" s="1709" t="s">
        <v>4108</v>
      </c>
    </row>
    <row r="1084" spans="8:12">
      <c r="H1084" s="1596" t="s">
        <v>4109</v>
      </c>
      <c r="I1084" s="1709" t="s">
        <v>603</v>
      </c>
      <c r="J1084" s="1709" t="s">
        <v>4110</v>
      </c>
    </row>
    <row r="1085" spans="8:12">
      <c r="H1085" s="1596" t="s">
        <v>4111</v>
      </c>
      <c r="I1085" s="1709" t="s">
        <v>603</v>
      </c>
      <c r="J1085" s="1709" t="s">
        <v>4112</v>
      </c>
    </row>
    <row r="1086" spans="8:12">
      <c r="H1086" s="1596" t="s">
        <v>4113</v>
      </c>
      <c r="I1086" s="1709" t="s">
        <v>603</v>
      </c>
      <c r="J1086" s="1709" t="s">
        <v>4114</v>
      </c>
    </row>
    <row r="1087" spans="8:12">
      <c r="H1087" s="1596" t="s">
        <v>4115</v>
      </c>
      <c r="I1087" s="1709" t="s">
        <v>603</v>
      </c>
      <c r="J1087" s="1709" t="s">
        <v>4116</v>
      </c>
    </row>
    <row r="1088" spans="8:12">
      <c r="H1088" s="1596" t="s">
        <v>5608</v>
      </c>
      <c r="I1088" s="1709" t="s">
        <v>714</v>
      </c>
      <c r="K1088" s="1709">
        <f>ROW()</f>
        <v>1088</v>
      </c>
      <c r="L1088" s="1709">
        <f>K1088+COUNTIF($I$118:$I$1905,I1088)-1</f>
        <v>1123</v>
      </c>
    </row>
    <row r="1089" spans="8:10">
      <c r="H1089" s="1596" t="s">
        <v>1338</v>
      </c>
      <c r="I1089" s="1709" t="s">
        <v>714</v>
      </c>
      <c r="J1089" s="1709" t="s">
        <v>1459</v>
      </c>
    </row>
    <row r="1090" spans="8:10">
      <c r="H1090" s="1596" t="s">
        <v>1341</v>
      </c>
      <c r="I1090" s="1709" t="s">
        <v>714</v>
      </c>
      <c r="J1090" s="1709" t="s">
        <v>1462</v>
      </c>
    </row>
    <row r="1091" spans="8:10">
      <c r="H1091" s="1596" t="s">
        <v>1409</v>
      </c>
      <c r="I1091" s="1709" t="s">
        <v>714</v>
      </c>
      <c r="J1091" s="1709" t="s">
        <v>1529</v>
      </c>
    </row>
    <row r="1092" spans="8:10">
      <c r="H1092" s="1596" t="s">
        <v>4117</v>
      </c>
      <c r="I1092" s="1709" t="s">
        <v>714</v>
      </c>
      <c r="J1092" s="1709" t="s">
        <v>4118</v>
      </c>
    </row>
    <row r="1093" spans="8:10">
      <c r="H1093" s="1596" t="s">
        <v>4119</v>
      </c>
      <c r="I1093" s="1709" t="s">
        <v>714</v>
      </c>
      <c r="J1093" s="1709" t="s">
        <v>4120</v>
      </c>
    </row>
    <row r="1094" spans="8:10">
      <c r="H1094" s="1596" t="s">
        <v>4121</v>
      </c>
      <c r="I1094" s="1709" t="s">
        <v>714</v>
      </c>
      <c r="J1094" s="1709" t="s">
        <v>4122</v>
      </c>
    </row>
    <row r="1095" spans="8:10">
      <c r="H1095" s="1596" t="s">
        <v>4123</v>
      </c>
      <c r="I1095" s="1709" t="s">
        <v>714</v>
      </c>
      <c r="J1095" s="1709" t="s">
        <v>4124</v>
      </c>
    </row>
    <row r="1096" spans="8:10">
      <c r="H1096" s="1596" t="s">
        <v>4125</v>
      </c>
      <c r="I1096" s="1709" t="s">
        <v>714</v>
      </c>
      <c r="J1096" s="1709" t="s">
        <v>4126</v>
      </c>
    </row>
    <row r="1097" spans="8:10">
      <c r="H1097" s="1596" t="s">
        <v>1410</v>
      </c>
      <c r="I1097" s="1709" t="s">
        <v>714</v>
      </c>
      <c r="J1097" s="1709" t="s">
        <v>1530</v>
      </c>
    </row>
    <row r="1098" spans="8:10">
      <c r="H1098" s="1596" t="s">
        <v>4127</v>
      </c>
      <c r="I1098" s="1709" t="s">
        <v>714</v>
      </c>
      <c r="J1098" s="1709" t="s">
        <v>4128</v>
      </c>
    </row>
    <row r="1099" spans="8:10">
      <c r="H1099" s="1596" t="s">
        <v>4129</v>
      </c>
      <c r="I1099" s="1709" t="s">
        <v>714</v>
      </c>
      <c r="J1099" s="1709" t="s">
        <v>4130</v>
      </c>
    </row>
    <row r="1100" spans="8:10">
      <c r="H1100" s="1596" t="s">
        <v>4131</v>
      </c>
      <c r="I1100" s="1709" t="s">
        <v>714</v>
      </c>
      <c r="J1100" s="1709" t="s">
        <v>4132</v>
      </c>
    </row>
    <row r="1101" spans="8:10">
      <c r="H1101" s="1596" t="s">
        <v>4133</v>
      </c>
      <c r="I1101" s="1709" t="s">
        <v>714</v>
      </c>
      <c r="J1101" s="1709" t="s">
        <v>4134</v>
      </c>
    </row>
    <row r="1102" spans="8:10">
      <c r="H1102" s="1596" t="s">
        <v>4135</v>
      </c>
      <c r="I1102" s="1709" t="s">
        <v>714</v>
      </c>
      <c r="J1102" s="1709" t="s">
        <v>4136</v>
      </c>
    </row>
    <row r="1103" spans="8:10">
      <c r="H1103" s="1596" t="s">
        <v>4137</v>
      </c>
      <c r="I1103" s="1709" t="s">
        <v>714</v>
      </c>
      <c r="J1103" s="1709" t="s">
        <v>4138</v>
      </c>
    </row>
    <row r="1104" spans="8:10">
      <c r="H1104" s="1596" t="s">
        <v>4139</v>
      </c>
      <c r="I1104" s="1709" t="s">
        <v>714</v>
      </c>
      <c r="J1104" s="1709" t="s">
        <v>4140</v>
      </c>
    </row>
    <row r="1105" spans="8:10">
      <c r="H1105" s="1596" t="s">
        <v>4141</v>
      </c>
      <c r="I1105" s="1709" t="s">
        <v>714</v>
      </c>
      <c r="J1105" s="1709" t="s">
        <v>4142</v>
      </c>
    </row>
    <row r="1106" spans="8:10">
      <c r="H1106" s="1596" t="s">
        <v>4143</v>
      </c>
      <c r="I1106" s="1709" t="s">
        <v>714</v>
      </c>
      <c r="J1106" s="1709" t="s">
        <v>4144</v>
      </c>
    </row>
    <row r="1107" spans="8:10">
      <c r="H1107" s="1596" t="s">
        <v>4145</v>
      </c>
      <c r="I1107" s="1709" t="s">
        <v>714</v>
      </c>
      <c r="J1107" s="1709" t="s">
        <v>4146</v>
      </c>
    </row>
    <row r="1108" spans="8:10">
      <c r="H1108" s="1596" t="s">
        <v>4147</v>
      </c>
      <c r="I1108" s="1709" t="s">
        <v>714</v>
      </c>
      <c r="J1108" s="1709" t="s">
        <v>4148</v>
      </c>
    </row>
    <row r="1109" spans="8:10">
      <c r="H1109" s="1596" t="s">
        <v>4149</v>
      </c>
      <c r="I1109" s="1709" t="s">
        <v>714</v>
      </c>
      <c r="J1109" s="1709" t="s">
        <v>4150</v>
      </c>
    </row>
    <row r="1110" spans="8:10">
      <c r="H1110" s="1596" t="s">
        <v>4151</v>
      </c>
      <c r="I1110" s="1709" t="s">
        <v>714</v>
      </c>
      <c r="J1110" s="1709" t="s">
        <v>4152</v>
      </c>
    </row>
    <row r="1111" spans="8:10">
      <c r="H1111" s="1596" t="s">
        <v>4153</v>
      </c>
      <c r="I1111" s="1709" t="s">
        <v>714</v>
      </c>
      <c r="J1111" s="1709" t="s">
        <v>4154</v>
      </c>
    </row>
    <row r="1112" spans="8:10">
      <c r="H1112" s="1596" t="s">
        <v>4155</v>
      </c>
      <c r="I1112" s="1709" t="s">
        <v>714</v>
      </c>
      <c r="J1112" s="1709" t="s">
        <v>4156</v>
      </c>
    </row>
    <row r="1113" spans="8:10">
      <c r="H1113" s="1596" t="s">
        <v>4157</v>
      </c>
      <c r="I1113" s="1709" t="s">
        <v>714</v>
      </c>
      <c r="J1113" s="1709" t="s">
        <v>4158</v>
      </c>
    </row>
    <row r="1114" spans="8:10">
      <c r="H1114" s="1596" t="s">
        <v>4159</v>
      </c>
      <c r="I1114" s="1709" t="s">
        <v>714</v>
      </c>
      <c r="J1114" s="1709" t="s">
        <v>4160</v>
      </c>
    </row>
    <row r="1115" spans="8:10">
      <c r="H1115" s="1596" t="s">
        <v>4161</v>
      </c>
      <c r="I1115" s="1709" t="s">
        <v>714</v>
      </c>
      <c r="J1115" s="1709" t="s">
        <v>4162</v>
      </c>
    </row>
    <row r="1116" spans="8:10">
      <c r="H1116" s="1596" t="s">
        <v>4163</v>
      </c>
      <c r="I1116" s="1709" t="s">
        <v>714</v>
      </c>
      <c r="J1116" s="1709" t="s">
        <v>4164</v>
      </c>
    </row>
    <row r="1117" spans="8:10">
      <c r="H1117" s="1596" t="s">
        <v>4165</v>
      </c>
      <c r="I1117" s="1709" t="s">
        <v>714</v>
      </c>
      <c r="J1117" s="1709" t="s">
        <v>4166</v>
      </c>
    </row>
    <row r="1118" spans="8:10">
      <c r="H1118" s="1596" t="s">
        <v>4167</v>
      </c>
      <c r="I1118" s="1709" t="s">
        <v>714</v>
      </c>
      <c r="J1118" s="1709" t="s">
        <v>2682</v>
      </c>
    </row>
    <row r="1119" spans="8:10">
      <c r="H1119" s="1596" t="s">
        <v>4168</v>
      </c>
      <c r="I1119" s="1709" t="s">
        <v>714</v>
      </c>
      <c r="J1119" s="1709" t="s">
        <v>4169</v>
      </c>
    </row>
    <row r="1120" spans="8:10">
      <c r="H1120" s="1596" t="s">
        <v>4170</v>
      </c>
      <c r="I1120" s="1709" t="s">
        <v>714</v>
      </c>
      <c r="J1120" s="1709" t="s">
        <v>4171</v>
      </c>
    </row>
    <row r="1121" spans="8:12">
      <c r="H1121" s="1596" t="s">
        <v>4172</v>
      </c>
      <c r="I1121" s="1709" t="s">
        <v>714</v>
      </c>
      <c r="J1121" s="1709" t="s">
        <v>4173</v>
      </c>
    </row>
    <row r="1122" spans="8:12">
      <c r="H1122" s="1596" t="s">
        <v>4174</v>
      </c>
      <c r="I1122" s="1709" t="s">
        <v>714</v>
      </c>
      <c r="J1122" s="1709" t="s">
        <v>4175</v>
      </c>
    </row>
    <row r="1123" spans="8:12">
      <c r="H1123" s="1596" t="s">
        <v>4176</v>
      </c>
      <c r="I1123" s="1709" t="s">
        <v>714</v>
      </c>
      <c r="J1123" s="1709" t="s">
        <v>2458</v>
      </c>
    </row>
    <row r="1124" spans="8:12">
      <c r="H1124" s="1596" t="s">
        <v>5609</v>
      </c>
      <c r="I1124" s="1709" t="s">
        <v>604</v>
      </c>
      <c r="K1124" s="1709">
        <f>ROW()</f>
        <v>1124</v>
      </c>
      <c r="L1124" s="1709">
        <f>K1124+COUNTIF($I$118:$I$1905,I1124)-1</f>
        <v>1178</v>
      </c>
    </row>
    <row r="1125" spans="8:12">
      <c r="H1125" s="1596" t="s">
        <v>1328</v>
      </c>
      <c r="I1125" s="1709" t="s">
        <v>604</v>
      </c>
      <c r="J1125" s="1709" t="s">
        <v>1449</v>
      </c>
    </row>
    <row r="1126" spans="8:12">
      <c r="H1126" s="1596" t="s">
        <v>1362</v>
      </c>
      <c r="I1126" s="1709" t="s">
        <v>604</v>
      </c>
      <c r="J1126" s="1709" t="s">
        <v>1483</v>
      </c>
    </row>
    <row r="1127" spans="8:12">
      <c r="H1127" s="1596" t="s">
        <v>1364</v>
      </c>
      <c r="I1127" s="1709" t="s">
        <v>604</v>
      </c>
      <c r="J1127" s="1709" t="s">
        <v>1485</v>
      </c>
    </row>
    <row r="1128" spans="8:12">
      <c r="H1128" s="1596" t="s">
        <v>1411</v>
      </c>
      <c r="I1128" s="1709" t="s">
        <v>604</v>
      </c>
      <c r="J1128" s="1709" t="s">
        <v>1531</v>
      </c>
    </row>
    <row r="1129" spans="8:12">
      <c r="H1129" s="1596" t="s">
        <v>4177</v>
      </c>
      <c r="I1129" s="1709" t="s">
        <v>604</v>
      </c>
      <c r="J1129" s="1709" t="s">
        <v>4178</v>
      </c>
    </row>
    <row r="1130" spans="8:12">
      <c r="H1130" s="1596" t="s">
        <v>4179</v>
      </c>
      <c r="I1130" s="1709" t="s">
        <v>604</v>
      </c>
      <c r="J1130" s="1709" t="s">
        <v>4180</v>
      </c>
    </row>
    <row r="1131" spans="8:12">
      <c r="H1131" s="1596" t="s">
        <v>1412</v>
      </c>
      <c r="I1131" s="1709" t="s">
        <v>604</v>
      </c>
      <c r="J1131" s="1709" t="s">
        <v>1532</v>
      </c>
    </row>
    <row r="1132" spans="8:12">
      <c r="H1132" s="1596" t="s">
        <v>4181</v>
      </c>
      <c r="I1132" s="1709" t="s">
        <v>604</v>
      </c>
      <c r="J1132" s="1709" t="s">
        <v>4182</v>
      </c>
    </row>
    <row r="1133" spans="8:12">
      <c r="H1133" s="1596" t="s">
        <v>4183</v>
      </c>
      <c r="I1133" s="1709" t="s">
        <v>604</v>
      </c>
      <c r="J1133" s="1709" t="s">
        <v>4184</v>
      </c>
    </row>
    <row r="1134" spans="8:12">
      <c r="H1134" s="1596" t="s">
        <v>4185</v>
      </c>
      <c r="I1134" s="1709" t="s">
        <v>604</v>
      </c>
      <c r="J1134" s="1709" t="s">
        <v>4186</v>
      </c>
    </row>
    <row r="1135" spans="8:12">
      <c r="H1135" s="1596" t="s">
        <v>4187</v>
      </c>
      <c r="I1135" s="1709" t="s">
        <v>604</v>
      </c>
      <c r="J1135" s="1709" t="s">
        <v>4188</v>
      </c>
    </row>
    <row r="1136" spans="8:12">
      <c r="H1136" s="1596" t="s">
        <v>1363</v>
      </c>
      <c r="I1136" s="1709" t="s">
        <v>604</v>
      </c>
      <c r="J1136" s="1709" t="s">
        <v>1484</v>
      </c>
    </row>
    <row r="1137" spans="8:10">
      <c r="H1137" s="1596" t="s">
        <v>4189</v>
      </c>
      <c r="I1137" s="1709" t="s">
        <v>604</v>
      </c>
      <c r="J1137" s="1709" t="s">
        <v>4190</v>
      </c>
    </row>
    <row r="1138" spans="8:10">
      <c r="H1138" s="1596" t="s">
        <v>4191</v>
      </c>
      <c r="I1138" s="1709" t="s">
        <v>604</v>
      </c>
      <c r="J1138" s="1709" t="s">
        <v>4192</v>
      </c>
    </row>
    <row r="1139" spans="8:10">
      <c r="H1139" s="1596" t="s">
        <v>4193</v>
      </c>
      <c r="I1139" s="1709" t="s">
        <v>604</v>
      </c>
      <c r="J1139" s="1709" t="s">
        <v>4194</v>
      </c>
    </row>
    <row r="1140" spans="8:10">
      <c r="H1140" s="1596" t="s">
        <v>4195</v>
      </c>
      <c r="I1140" s="1709" t="s">
        <v>604</v>
      </c>
      <c r="J1140" s="1709" t="s">
        <v>4196</v>
      </c>
    </row>
    <row r="1141" spans="8:10">
      <c r="H1141" s="1596" t="s">
        <v>4197</v>
      </c>
      <c r="I1141" s="1709" t="s">
        <v>604</v>
      </c>
      <c r="J1141" s="1709" t="s">
        <v>4198</v>
      </c>
    </row>
    <row r="1142" spans="8:10">
      <c r="H1142" s="1596" t="s">
        <v>4199</v>
      </c>
      <c r="I1142" s="1709" t="s">
        <v>604</v>
      </c>
      <c r="J1142" s="1709" t="s">
        <v>4200</v>
      </c>
    </row>
    <row r="1143" spans="8:10">
      <c r="H1143" s="1596" t="s">
        <v>4201</v>
      </c>
      <c r="I1143" s="1709" t="s">
        <v>604</v>
      </c>
      <c r="J1143" s="1709" t="s">
        <v>4202</v>
      </c>
    </row>
    <row r="1144" spans="8:10">
      <c r="H1144" s="1596" t="s">
        <v>4203</v>
      </c>
      <c r="I1144" s="1709" t="s">
        <v>604</v>
      </c>
      <c r="J1144" s="1709" t="s">
        <v>4204</v>
      </c>
    </row>
    <row r="1145" spans="8:10">
      <c r="H1145" s="1596" t="s">
        <v>4205</v>
      </c>
      <c r="I1145" s="1709" t="s">
        <v>604</v>
      </c>
      <c r="J1145" s="1709" t="s">
        <v>4206</v>
      </c>
    </row>
    <row r="1146" spans="8:10">
      <c r="H1146" s="1596" t="s">
        <v>4207</v>
      </c>
      <c r="I1146" s="1709" t="s">
        <v>604</v>
      </c>
      <c r="J1146" s="1709" t="s">
        <v>4208</v>
      </c>
    </row>
    <row r="1147" spans="8:10">
      <c r="H1147" s="1596" t="s">
        <v>4209</v>
      </c>
      <c r="I1147" s="1709" t="s">
        <v>604</v>
      </c>
      <c r="J1147" s="1709" t="s">
        <v>4210</v>
      </c>
    </row>
    <row r="1148" spans="8:10">
      <c r="H1148" s="1596" t="s">
        <v>4211</v>
      </c>
      <c r="I1148" s="1709" t="s">
        <v>604</v>
      </c>
      <c r="J1148" s="1709" t="s">
        <v>4212</v>
      </c>
    </row>
    <row r="1149" spans="8:10">
      <c r="H1149" s="1596" t="s">
        <v>4213</v>
      </c>
      <c r="I1149" s="1709" t="s">
        <v>604</v>
      </c>
      <c r="J1149" s="1709" t="s">
        <v>4214</v>
      </c>
    </row>
    <row r="1150" spans="8:10">
      <c r="H1150" s="1596" t="s">
        <v>4215</v>
      </c>
      <c r="I1150" s="1709" t="s">
        <v>604</v>
      </c>
      <c r="J1150" s="1709" t="s">
        <v>4216</v>
      </c>
    </row>
    <row r="1151" spans="8:10">
      <c r="H1151" s="1596" t="s">
        <v>4217</v>
      </c>
      <c r="I1151" s="1709" t="s">
        <v>604</v>
      </c>
      <c r="J1151" s="1709" t="s">
        <v>4218</v>
      </c>
    </row>
    <row r="1152" spans="8:10">
      <c r="H1152" s="1596" t="s">
        <v>4219</v>
      </c>
      <c r="I1152" s="1709" t="s">
        <v>604</v>
      </c>
      <c r="J1152" s="1709" t="s">
        <v>4220</v>
      </c>
    </row>
    <row r="1153" spans="8:10">
      <c r="H1153" s="1596" t="s">
        <v>4221</v>
      </c>
      <c r="I1153" s="1709" t="s">
        <v>604</v>
      </c>
      <c r="J1153" s="1709" t="s">
        <v>4222</v>
      </c>
    </row>
    <row r="1154" spans="8:10">
      <c r="H1154" s="1596" t="s">
        <v>4223</v>
      </c>
      <c r="I1154" s="1709" t="s">
        <v>604</v>
      </c>
      <c r="J1154" s="1709" t="s">
        <v>4224</v>
      </c>
    </row>
    <row r="1155" spans="8:10">
      <c r="H1155" s="1596" t="s">
        <v>4225</v>
      </c>
      <c r="I1155" s="1709" t="s">
        <v>604</v>
      </c>
      <c r="J1155" s="1709" t="s">
        <v>4226</v>
      </c>
    </row>
    <row r="1156" spans="8:10">
      <c r="H1156" s="1596" t="s">
        <v>4227</v>
      </c>
      <c r="I1156" s="1709" t="s">
        <v>604</v>
      </c>
      <c r="J1156" s="1709" t="s">
        <v>4228</v>
      </c>
    </row>
    <row r="1157" spans="8:10">
      <c r="H1157" s="1596" t="s">
        <v>4229</v>
      </c>
      <c r="I1157" s="1709" t="s">
        <v>604</v>
      </c>
      <c r="J1157" s="1709" t="s">
        <v>4230</v>
      </c>
    </row>
    <row r="1158" spans="8:10">
      <c r="H1158" s="1596" t="s">
        <v>4231</v>
      </c>
      <c r="I1158" s="1709" t="s">
        <v>604</v>
      </c>
      <c r="J1158" s="1709" t="s">
        <v>4232</v>
      </c>
    </row>
    <row r="1159" spans="8:10">
      <c r="H1159" s="1596" t="s">
        <v>4233</v>
      </c>
      <c r="I1159" s="1709" t="s">
        <v>604</v>
      </c>
      <c r="J1159" s="1709" t="s">
        <v>4234</v>
      </c>
    </row>
    <row r="1160" spans="8:10">
      <c r="H1160" s="1596" t="s">
        <v>4235</v>
      </c>
      <c r="I1160" s="1709" t="s">
        <v>604</v>
      </c>
      <c r="J1160" s="1709" t="s">
        <v>4236</v>
      </c>
    </row>
    <row r="1161" spans="8:10">
      <c r="H1161" s="1596" t="s">
        <v>4237</v>
      </c>
      <c r="I1161" s="1709" t="s">
        <v>604</v>
      </c>
      <c r="J1161" s="1709" t="s">
        <v>4238</v>
      </c>
    </row>
    <row r="1162" spans="8:10">
      <c r="H1162" s="1596" t="s">
        <v>4239</v>
      </c>
      <c r="I1162" s="1709" t="s">
        <v>604</v>
      </c>
      <c r="J1162" s="1709" t="s">
        <v>4240</v>
      </c>
    </row>
    <row r="1163" spans="8:10">
      <c r="H1163" s="1596" t="s">
        <v>4241</v>
      </c>
      <c r="I1163" s="1709" t="s">
        <v>604</v>
      </c>
      <c r="J1163" s="1709" t="s">
        <v>4242</v>
      </c>
    </row>
    <row r="1164" spans="8:10">
      <c r="H1164" s="1596" t="s">
        <v>4243</v>
      </c>
      <c r="I1164" s="1709" t="s">
        <v>604</v>
      </c>
      <c r="J1164" s="1709" t="s">
        <v>4244</v>
      </c>
    </row>
    <row r="1165" spans="8:10">
      <c r="H1165" s="1596" t="s">
        <v>4245</v>
      </c>
      <c r="I1165" s="1709" t="s">
        <v>604</v>
      </c>
      <c r="J1165" s="1709" t="s">
        <v>4246</v>
      </c>
    </row>
    <row r="1166" spans="8:10">
      <c r="H1166" s="1596" t="s">
        <v>4247</v>
      </c>
      <c r="I1166" s="1709" t="s">
        <v>604</v>
      </c>
      <c r="J1166" s="1709" t="s">
        <v>4248</v>
      </c>
    </row>
    <row r="1167" spans="8:10">
      <c r="H1167" s="1596" t="s">
        <v>4249</v>
      </c>
      <c r="I1167" s="1709" t="s">
        <v>604</v>
      </c>
      <c r="J1167" s="1709" t="s">
        <v>4250</v>
      </c>
    </row>
    <row r="1168" spans="8:10">
      <c r="H1168" s="1596" t="s">
        <v>4251</v>
      </c>
      <c r="I1168" s="1709" t="s">
        <v>604</v>
      </c>
      <c r="J1168" s="1709" t="s">
        <v>4252</v>
      </c>
    </row>
    <row r="1169" spans="8:12">
      <c r="H1169" s="1596" t="s">
        <v>4253</v>
      </c>
      <c r="I1169" s="1709" t="s">
        <v>604</v>
      </c>
      <c r="J1169" s="1709" t="s">
        <v>4254</v>
      </c>
    </row>
    <row r="1170" spans="8:12">
      <c r="H1170" s="1596" t="s">
        <v>4255</v>
      </c>
      <c r="I1170" s="1709" t="s">
        <v>604</v>
      </c>
      <c r="J1170" s="1709" t="s">
        <v>4256</v>
      </c>
    </row>
    <row r="1171" spans="8:12">
      <c r="H1171" s="1596" t="s">
        <v>4257</v>
      </c>
      <c r="I1171" s="1709" t="s">
        <v>604</v>
      </c>
      <c r="J1171" s="1709" t="s">
        <v>4258</v>
      </c>
    </row>
    <row r="1172" spans="8:12">
      <c r="H1172" s="1596" t="s">
        <v>4259</v>
      </c>
      <c r="I1172" s="1709" t="s">
        <v>604</v>
      </c>
      <c r="J1172" s="1709" t="s">
        <v>4260</v>
      </c>
    </row>
    <row r="1173" spans="8:12">
      <c r="H1173" s="1596" t="s">
        <v>4261</v>
      </c>
      <c r="I1173" s="1709" t="s">
        <v>604</v>
      </c>
      <c r="J1173" s="1709" t="s">
        <v>3831</v>
      </c>
    </row>
    <row r="1174" spans="8:12">
      <c r="H1174" s="1596" t="s">
        <v>4262</v>
      </c>
      <c r="I1174" s="1709" t="s">
        <v>604</v>
      </c>
      <c r="J1174" s="1709" t="s">
        <v>4263</v>
      </c>
    </row>
    <row r="1175" spans="8:12">
      <c r="H1175" s="1596" t="s">
        <v>4264</v>
      </c>
      <c r="I1175" s="1709" t="s">
        <v>604</v>
      </c>
      <c r="J1175" s="1709" t="s">
        <v>4265</v>
      </c>
    </row>
    <row r="1176" spans="8:12">
      <c r="H1176" s="1596" t="s">
        <v>4266</v>
      </c>
      <c r="I1176" s="1709" t="s">
        <v>604</v>
      </c>
      <c r="J1176" s="1709" t="s">
        <v>4267</v>
      </c>
    </row>
    <row r="1177" spans="8:12">
      <c r="H1177" s="1596" t="s">
        <v>4268</v>
      </c>
      <c r="I1177" s="1709" t="s">
        <v>604</v>
      </c>
      <c r="J1177" s="1709" t="s">
        <v>4269</v>
      </c>
    </row>
    <row r="1178" spans="8:12">
      <c r="H1178" s="1596" t="s">
        <v>4270</v>
      </c>
      <c r="I1178" s="1709" t="s">
        <v>604</v>
      </c>
      <c r="J1178" s="1709" t="s">
        <v>4271</v>
      </c>
    </row>
    <row r="1179" spans="8:12">
      <c r="H1179" s="1596" t="s">
        <v>5610</v>
      </c>
      <c r="I1179" s="1709" t="s">
        <v>715</v>
      </c>
      <c r="K1179" s="1709">
        <f>ROW()</f>
        <v>1179</v>
      </c>
      <c r="L1179" s="1709">
        <f>K1179+COUNTIF($I$118:$I$1905,I1179)-1</f>
        <v>1208</v>
      </c>
    </row>
    <row r="1180" spans="8:12">
      <c r="H1180" s="1596" t="s">
        <v>4272</v>
      </c>
      <c r="I1180" s="1709" t="s">
        <v>715</v>
      </c>
      <c r="J1180" s="1709" t="s">
        <v>4273</v>
      </c>
    </row>
    <row r="1181" spans="8:12">
      <c r="H1181" s="1596" t="s">
        <v>1413</v>
      </c>
      <c r="I1181" s="1709" t="s">
        <v>715</v>
      </c>
      <c r="J1181" s="1709" t="s">
        <v>1533</v>
      </c>
    </row>
    <row r="1182" spans="8:12">
      <c r="H1182" s="1596" t="s">
        <v>4274</v>
      </c>
      <c r="I1182" s="1709" t="s">
        <v>715</v>
      </c>
      <c r="J1182" s="1709" t="s">
        <v>4275</v>
      </c>
    </row>
    <row r="1183" spans="8:12">
      <c r="H1183" s="1596" t="s">
        <v>4276</v>
      </c>
      <c r="I1183" s="1709" t="s">
        <v>715</v>
      </c>
      <c r="J1183" s="1709" t="s">
        <v>4277</v>
      </c>
    </row>
    <row r="1184" spans="8:12">
      <c r="H1184" s="1596" t="s">
        <v>4278</v>
      </c>
      <c r="I1184" s="1709" t="s">
        <v>715</v>
      </c>
      <c r="J1184" s="1709" t="s">
        <v>4279</v>
      </c>
    </row>
    <row r="1185" spans="8:10">
      <c r="H1185" s="1596" t="s">
        <v>4280</v>
      </c>
      <c r="I1185" s="1709" t="s">
        <v>715</v>
      </c>
      <c r="J1185" s="1709" t="s">
        <v>4281</v>
      </c>
    </row>
    <row r="1186" spans="8:10">
      <c r="H1186" s="1596" t="s">
        <v>4282</v>
      </c>
      <c r="I1186" s="1709" t="s">
        <v>715</v>
      </c>
      <c r="J1186" s="1709" t="s">
        <v>4283</v>
      </c>
    </row>
    <row r="1187" spans="8:10">
      <c r="H1187" s="1596" t="s">
        <v>4284</v>
      </c>
      <c r="I1187" s="1709" t="s">
        <v>715</v>
      </c>
      <c r="J1187" s="1709" t="s">
        <v>4285</v>
      </c>
    </row>
    <row r="1188" spans="8:10">
      <c r="H1188" s="1596" t="s">
        <v>4286</v>
      </c>
      <c r="I1188" s="1709" t="s">
        <v>715</v>
      </c>
      <c r="J1188" s="1709" t="s">
        <v>4287</v>
      </c>
    </row>
    <row r="1189" spans="8:10">
      <c r="H1189" s="1596" t="s">
        <v>4288</v>
      </c>
      <c r="I1189" s="1709" t="s">
        <v>715</v>
      </c>
      <c r="J1189" s="1709" t="s">
        <v>4289</v>
      </c>
    </row>
    <row r="1190" spans="8:10">
      <c r="H1190" s="1596" t="s">
        <v>4290</v>
      </c>
      <c r="I1190" s="1709" t="s">
        <v>715</v>
      </c>
      <c r="J1190" s="1709" t="s">
        <v>4291</v>
      </c>
    </row>
    <row r="1191" spans="8:10">
      <c r="H1191" s="1596" t="s">
        <v>4292</v>
      </c>
      <c r="I1191" s="1709" t="s">
        <v>715</v>
      </c>
      <c r="J1191" s="1709" t="s">
        <v>4293</v>
      </c>
    </row>
    <row r="1192" spans="8:10">
      <c r="H1192" s="1596" t="s">
        <v>4294</v>
      </c>
      <c r="I1192" s="1709" t="s">
        <v>715</v>
      </c>
      <c r="J1192" s="1709" t="s">
        <v>4295</v>
      </c>
    </row>
    <row r="1193" spans="8:10">
      <c r="H1193" s="1596" t="s">
        <v>4296</v>
      </c>
      <c r="I1193" s="1709" t="s">
        <v>715</v>
      </c>
      <c r="J1193" s="1709" t="s">
        <v>4297</v>
      </c>
    </row>
    <row r="1194" spans="8:10">
      <c r="H1194" s="1596" t="s">
        <v>4298</v>
      </c>
      <c r="I1194" s="1709" t="s">
        <v>715</v>
      </c>
      <c r="J1194" s="1709" t="s">
        <v>4299</v>
      </c>
    </row>
    <row r="1195" spans="8:10">
      <c r="H1195" s="1596" t="s">
        <v>4300</v>
      </c>
      <c r="I1195" s="1709" t="s">
        <v>715</v>
      </c>
      <c r="J1195" s="1709" t="s">
        <v>4301</v>
      </c>
    </row>
    <row r="1196" spans="8:10">
      <c r="H1196" s="1596" t="s">
        <v>4302</v>
      </c>
      <c r="I1196" s="1709" t="s">
        <v>715</v>
      </c>
      <c r="J1196" s="1709" t="s">
        <v>4303</v>
      </c>
    </row>
    <row r="1197" spans="8:10">
      <c r="H1197" s="1596" t="s">
        <v>4304</v>
      </c>
      <c r="I1197" s="1709" t="s">
        <v>715</v>
      </c>
      <c r="J1197" s="1709" t="s">
        <v>3016</v>
      </c>
    </row>
    <row r="1198" spans="8:10">
      <c r="H1198" s="1596" t="s">
        <v>4305</v>
      </c>
      <c r="I1198" s="1709" t="s">
        <v>715</v>
      </c>
      <c r="J1198" s="1709" t="s">
        <v>4306</v>
      </c>
    </row>
    <row r="1199" spans="8:10">
      <c r="H1199" s="1596" t="s">
        <v>4307</v>
      </c>
      <c r="I1199" s="1709" t="s">
        <v>715</v>
      </c>
      <c r="J1199" s="1709" t="s">
        <v>4308</v>
      </c>
    </row>
    <row r="1200" spans="8:10">
      <c r="H1200" s="1596" t="s">
        <v>4309</v>
      </c>
      <c r="I1200" s="1709" t="s">
        <v>715</v>
      </c>
      <c r="J1200" s="1709" t="s">
        <v>3348</v>
      </c>
    </row>
    <row r="1201" spans="8:12">
      <c r="H1201" s="1596" t="s">
        <v>4310</v>
      </c>
      <c r="I1201" s="1709" t="s">
        <v>715</v>
      </c>
      <c r="J1201" s="1709" t="s">
        <v>4311</v>
      </c>
    </row>
    <row r="1202" spans="8:12">
      <c r="H1202" s="1596" t="s">
        <v>4312</v>
      </c>
      <c r="I1202" s="1709" t="s">
        <v>715</v>
      </c>
      <c r="J1202" s="1709" t="s">
        <v>4313</v>
      </c>
    </row>
    <row r="1203" spans="8:12">
      <c r="H1203" s="1596" t="s">
        <v>4314</v>
      </c>
      <c r="I1203" s="1709" t="s">
        <v>715</v>
      </c>
      <c r="J1203" s="1709" t="s">
        <v>4315</v>
      </c>
    </row>
    <row r="1204" spans="8:12">
      <c r="H1204" s="1596" t="s">
        <v>4316</v>
      </c>
      <c r="I1204" s="1709" t="s">
        <v>715</v>
      </c>
      <c r="J1204" s="1709" t="s">
        <v>4317</v>
      </c>
    </row>
    <row r="1205" spans="8:12">
      <c r="H1205" s="1596" t="s">
        <v>4318</v>
      </c>
      <c r="I1205" s="1709" t="s">
        <v>715</v>
      </c>
      <c r="J1205" s="1709" t="s">
        <v>4319</v>
      </c>
    </row>
    <row r="1206" spans="8:12">
      <c r="H1206" s="1596" t="s">
        <v>4320</v>
      </c>
      <c r="I1206" s="1709" t="s">
        <v>715</v>
      </c>
      <c r="J1206" s="1709" t="s">
        <v>4321</v>
      </c>
    </row>
    <row r="1207" spans="8:12">
      <c r="H1207" s="1596" t="s">
        <v>4322</v>
      </c>
      <c r="I1207" s="1709" t="s">
        <v>715</v>
      </c>
      <c r="J1207" s="1709" t="s">
        <v>4323</v>
      </c>
    </row>
    <row r="1208" spans="8:12">
      <c r="H1208" s="1596" t="s">
        <v>4324</v>
      </c>
      <c r="I1208" s="1709" t="s">
        <v>715</v>
      </c>
      <c r="J1208" s="1709" t="s">
        <v>4325</v>
      </c>
    </row>
    <row r="1209" spans="8:12">
      <c r="H1209" s="1596" t="s">
        <v>5611</v>
      </c>
      <c r="I1209" s="1709" t="s">
        <v>605</v>
      </c>
      <c r="K1209" s="1709">
        <f>ROW()</f>
        <v>1209</v>
      </c>
      <c r="L1209" s="1709">
        <f>K1209+COUNTIF($I$118:$I$1905,I1209)-1</f>
        <v>1228</v>
      </c>
    </row>
    <row r="1210" spans="8:12">
      <c r="H1210" s="1596" t="s">
        <v>1365</v>
      </c>
      <c r="I1210" s="1709" t="s">
        <v>605</v>
      </c>
      <c r="J1210" s="1709" t="s">
        <v>1486</v>
      </c>
    </row>
    <row r="1211" spans="8:12">
      <c r="H1211" s="1596" t="s">
        <v>4326</v>
      </c>
      <c r="I1211" s="1709" t="s">
        <v>605</v>
      </c>
      <c r="J1211" s="1709" t="s">
        <v>4327</v>
      </c>
    </row>
    <row r="1212" spans="8:12">
      <c r="H1212" s="1596" t="s">
        <v>4328</v>
      </c>
      <c r="I1212" s="1709" t="s">
        <v>605</v>
      </c>
      <c r="J1212" s="1709" t="s">
        <v>4329</v>
      </c>
    </row>
    <row r="1213" spans="8:12">
      <c r="H1213" s="1596" t="s">
        <v>4330</v>
      </c>
      <c r="I1213" s="1709" t="s">
        <v>605</v>
      </c>
      <c r="J1213" s="1709" t="s">
        <v>4331</v>
      </c>
    </row>
    <row r="1214" spans="8:12">
      <c r="H1214" s="1596" t="s">
        <v>4332</v>
      </c>
      <c r="I1214" s="1709" t="s">
        <v>605</v>
      </c>
      <c r="J1214" s="1709" t="s">
        <v>4333</v>
      </c>
    </row>
    <row r="1215" spans="8:12">
      <c r="H1215" s="1596" t="s">
        <v>4334</v>
      </c>
      <c r="I1215" s="1709" t="s">
        <v>605</v>
      </c>
      <c r="J1215" s="1709" t="s">
        <v>4335</v>
      </c>
    </row>
    <row r="1216" spans="8:12">
      <c r="H1216" s="1596" t="s">
        <v>4336</v>
      </c>
      <c r="I1216" s="1709" t="s">
        <v>605</v>
      </c>
      <c r="J1216" s="1709" t="s">
        <v>4337</v>
      </c>
    </row>
    <row r="1217" spans="8:12">
      <c r="H1217" s="1596" t="s">
        <v>4338</v>
      </c>
      <c r="I1217" s="1709" t="s">
        <v>605</v>
      </c>
      <c r="J1217" s="1709" t="s">
        <v>4339</v>
      </c>
    </row>
    <row r="1218" spans="8:12">
      <c r="H1218" s="1596" t="s">
        <v>4340</v>
      </c>
      <c r="I1218" s="1709" t="s">
        <v>605</v>
      </c>
      <c r="J1218" s="1709" t="s">
        <v>4341</v>
      </c>
    </row>
    <row r="1219" spans="8:12">
      <c r="H1219" s="1596" t="s">
        <v>4342</v>
      </c>
      <c r="I1219" s="1709" t="s">
        <v>605</v>
      </c>
      <c r="J1219" s="1709" t="s">
        <v>4343</v>
      </c>
    </row>
    <row r="1220" spans="8:12">
      <c r="H1220" s="1596" t="s">
        <v>4344</v>
      </c>
      <c r="I1220" s="1709" t="s">
        <v>605</v>
      </c>
      <c r="J1220" s="1709" t="s">
        <v>4345</v>
      </c>
    </row>
    <row r="1221" spans="8:12">
      <c r="H1221" s="1596" t="s">
        <v>4346</v>
      </c>
      <c r="I1221" s="1709" t="s">
        <v>605</v>
      </c>
      <c r="J1221" s="1709" t="s">
        <v>4347</v>
      </c>
    </row>
    <row r="1222" spans="8:12">
      <c r="H1222" s="1596" t="s">
        <v>4348</v>
      </c>
      <c r="I1222" s="1709" t="s">
        <v>605</v>
      </c>
      <c r="J1222" s="1709" t="s">
        <v>4349</v>
      </c>
    </row>
    <row r="1223" spans="8:12">
      <c r="H1223" s="1596" t="s">
        <v>4350</v>
      </c>
      <c r="I1223" s="1709" t="s">
        <v>605</v>
      </c>
      <c r="J1223" s="1709" t="s">
        <v>4351</v>
      </c>
    </row>
    <row r="1224" spans="8:12">
      <c r="H1224" s="1596" t="s">
        <v>4352</v>
      </c>
      <c r="I1224" s="1709" t="s">
        <v>605</v>
      </c>
      <c r="J1224" s="1709" t="s">
        <v>4353</v>
      </c>
    </row>
    <row r="1225" spans="8:12">
      <c r="H1225" s="1596" t="s">
        <v>4354</v>
      </c>
      <c r="I1225" s="1709" t="s">
        <v>605</v>
      </c>
      <c r="J1225" s="1709" t="s">
        <v>4355</v>
      </c>
    </row>
    <row r="1226" spans="8:12">
      <c r="H1226" s="1596" t="s">
        <v>4356</v>
      </c>
      <c r="I1226" s="1709" t="s">
        <v>605</v>
      </c>
      <c r="J1226" s="1709" t="s">
        <v>4357</v>
      </c>
    </row>
    <row r="1227" spans="8:12">
      <c r="H1227" s="1596" t="s">
        <v>4358</v>
      </c>
      <c r="I1227" s="1709" t="s">
        <v>605</v>
      </c>
      <c r="J1227" s="1709" t="s">
        <v>4359</v>
      </c>
    </row>
    <row r="1228" spans="8:12">
      <c r="H1228" s="1596" t="s">
        <v>4360</v>
      </c>
      <c r="I1228" s="1709" t="s">
        <v>605</v>
      </c>
      <c r="J1228" s="1709" t="s">
        <v>4361</v>
      </c>
    </row>
    <row r="1229" spans="8:12">
      <c r="H1229" s="1596" t="s">
        <v>5612</v>
      </c>
      <c r="I1229" s="1709" t="s">
        <v>4362</v>
      </c>
      <c r="K1229" s="1709">
        <f>ROW()</f>
        <v>1229</v>
      </c>
      <c r="L1229" s="1709">
        <f>K1229+COUNTIF($I$118:$I$1905,I1229)-1</f>
        <v>1255</v>
      </c>
    </row>
    <row r="1230" spans="8:12">
      <c r="H1230" s="1596" t="s">
        <v>1329</v>
      </c>
      <c r="I1230" s="1709" t="s">
        <v>4362</v>
      </c>
      <c r="J1230" s="1709" t="s">
        <v>1450</v>
      </c>
    </row>
    <row r="1231" spans="8:12">
      <c r="H1231" s="1596" t="s">
        <v>4363</v>
      </c>
      <c r="I1231" s="1709" t="s">
        <v>4362</v>
      </c>
      <c r="J1231" s="1709" t="s">
        <v>4364</v>
      </c>
    </row>
    <row r="1232" spans="8:12">
      <c r="H1232" s="1596" t="s">
        <v>4365</v>
      </c>
      <c r="I1232" s="1709" t="s">
        <v>4362</v>
      </c>
      <c r="J1232" s="1709" t="s">
        <v>4366</v>
      </c>
    </row>
    <row r="1233" spans="8:10">
      <c r="H1233" s="1596" t="s">
        <v>4367</v>
      </c>
      <c r="I1233" s="1709" t="s">
        <v>4362</v>
      </c>
      <c r="J1233" s="1709" t="s">
        <v>4368</v>
      </c>
    </row>
    <row r="1234" spans="8:10">
      <c r="H1234" s="1596" t="s">
        <v>4369</v>
      </c>
      <c r="I1234" s="1709" t="s">
        <v>4362</v>
      </c>
      <c r="J1234" s="1709" t="s">
        <v>4370</v>
      </c>
    </row>
    <row r="1235" spans="8:10">
      <c r="H1235" s="1596" t="s">
        <v>4371</v>
      </c>
      <c r="I1235" s="1709" t="s">
        <v>4362</v>
      </c>
      <c r="J1235" s="1709" t="s">
        <v>4372</v>
      </c>
    </row>
    <row r="1236" spans="8:10">
      <c r="H1236" s="1596" t="s">
        <v>4373</v>
      </c>
      <c r="I1236" s="1709" t="s">
        <v>4362</v>
      </c>
      <c r="J1236" s="1709" t="s">
        <v>4374</v>
      </c>
    </row>
    <row r="1237" spans="8:10">
      <c r="H1237" s="1596" t="s">
        <v>4375</v>
      </c>
      <c r="I1237" s="1709" t="s">
        <v>4362</v>
      </c>
      <c r="J1237" s="1709" t="s">
        <v>4376</v>
      </c>
    </row>
    <row r="1238" spans="8:10">
      <c r="H1238" s="1596" t="s">
        <v>4377</v>
      </c>
      <c r="I1238" s="1709" t="s">
        <v>4362</v>
      </c>
      <c r="J1238" s="1709" t="s">
        <v>4378</v>
      </c>
    </row>
    <row r="1239" spans="8:10">
      <c r="H1239" s="1596" t="s">
        <v>4379</v>
      </c>
      <c r="I1239" s="1709" t="s">
        <v>4362</v>
      </c>
      <c r="J1239" s="1709" t="s">
        <v>4380</v>
      </c>
    </row>
    <row r="1240" spans="8:10">
      <c r="H1240" s="1596" t="s">
        <v>4381</v>
      </c>
      <c r="I1240" s="1709" t="s">
        <v>4362</v>
      </c>
      <c r="J1240" s="1709" t="s">
        <v>4382</v>
      </c>
    </row>
    <row r="1241" spans="8:10">
      <c r="H1241" s="1596" t="s">
        <v>4383</v>
      </c>
      <c r="I1241" s="1709" t="s">
        <v>4362</v>
      </c>
      <c r="J1241" s="1709" t="s">
        <v>4384</v>
      </c>
    </row>
    <row r="1242" spans="8:10">
      <c r="H1242" s="1596" t="s">
        <v>4385</v>
      </c>
      <c r="I1242" s="1709" t="s">
        <v>4362</v>
      </c>
      <c r="J1242" s="1709" t="s">
        <v>4386</v>
      </c>
    </row>
    <row r="1243" spans="8:10">
      <c r="H1243" s="1596" t="s">
        <v>4387</v>
      </c>
      <c r="I1243" s="1709" t="s">
        <v>4362</v>
      </c>
      <c r="J1243" s="1709" t="s">
        <v>4388</v>
      </c>
    </row>
    <row r="1244" spans="8:10">
      <c r="H1244" s="1596" t="s">
        <v>4389</v>
      </c>
      <c r="I1244" s="1709" t="s">
        <v>4362</v>
      </c>
      <c r="J1244" s="1709" t="s">
        <v>4390</v>
      </c>
    </row>
    <row r="1245" spans="8:10">
      <c r="H1245" s="1596" t="s">
        <v>4391</v>
      </c>
      <c r="I1245" s="1709" t="s">
        <v>4362</v>
      </c>
      <c r="J1245" s="1709" t="s">
        <v>4392</v>
      </c>
    </row>
    <row r="1246" spans="8:10">
      <c r="H1246" s="1596" t="s">
        <v>4393</v>
      </c>
      <c r="I1246" s="1709" t="s">
        <v>4362</v>
      </c>
      <c r="J1246" s="1709" t="s">
        <v>4394</v>
      </c>
    </row>
    <row r="1247" spans="8:10">
      <c r="H1247" s="1596" t="s">
        <v>4395</v>
      </c>
      <c r="I1247" s="1709" t="s">
        <v>4362</v>
      </c>
      <c r="J1247" s="1709" t="s">
        <v>4396</v>
      </c>
    </row>
    <row r="1248" spans="8:10">
      <c r="H1248" s="1596" t="s">
        <v>4397</v>
      </c>
      <c r="I1248" s="1709" t="s">
        <v>4362</v>
      </c>
      <c r="J1248" s="1709" t="s">
        <v>4398</v>
      </c>
    </row>
    <row r="1249" spans="8:12">
      <c r="H1249" s="1596" t="s">
        <v>4399</v>
      </c>
      <c r="I1249" s="1709" t="s">
        <v>4362</v>
      </c>
      <c r="J1249" s="1709" t="s">
        <v>4400</v>
      </c>
    </row>
    <row r="1250" spans="8:12">
      <c r="H1250" s="1596" t="s">
        <v>4401</v>
      </c>
      <c r="I1250" s="1709" t="s">
        <v>4362</v>
      </c>
      <c r="J1250" s="1709" t="s">
        <v>4402</v>
      </c>
    </row>
    <row r="1251" spans="8:12">
      <c r="H1251" s="1596" t="s">
        <v>4403</v>
      </c>
      <c r="I1251" s="1709" t="s">
        <v>4362</v>
      </c>
      <c r="J1251" s="1709" t="s">
        <v>4404</v>
      </c>
    </row>
    <row r="1252" spans="8:12">
      <c r="H1252" s="1596" t="s">
        <v>4405</v>
      </c>
      <c r="I1252" s="1709" t="s">
        <v>4362</v>
      </c>
      <c r="J1252" s="1709" t="s">
        <v>4406</v>
      </c>
    </row>
    <row r="1253" spans="8:12">
      <c r="H1253" s="1596" t="s">
        <v>4407</v>
      </c>
      <c r="I1253" s="1709" t="s">
        <v>4362</v>
      </c>
      <c r="J1253" s="1709" t="s">
        <v>4408</v>
      </c>
    </row>
    <row r="1254" spans="8:12">
      <c r="H1254" s="1596" t="s">
        <v>4409</v>
      </c>
      <c r="I1254" s="1709" t="s">
        <v>4362</v>
      </c>
      <c r="J1254" s="1709" t="s">
        <v>4410</v>
      </c>
    </row>
    <row r="1255" spans="8:12">
      <c r="H1255" s="1596" t="s">
        <v>4411</v>
      </c>
      <c r="I1255" s="1709" t="s">
        <v>4362</v>
      </c>
      <c r="J1255" s="1709" t="s">
        <v>4412</v>
      </c>
    </row>
    <row r="1256" spans="8:12">
      <c r="H1256" s="1596" t="s">
        <v>5613</v>
      </c>
      <c r="I1256" s="1709" t="s">
        <v>606</v>
      </c>
      <c r="K1256" s="1709">
        <f>ROW()</f>
        <v>1256</v>
      </c>
      <c r="L1256" s="1709">
        <f>K1256+COUNTIF($I$118:$I$1905,I1256)-1</f>
        <v>1299</v>
      </c>
    </row>
    <row r="1257" spans="8:12">
      <c r="H1257" s="1596" t="s">
        <v>1330</v>
      </c>
      <c r="I1257" s="1709" t="s">
        <v>606</v>
      </c>
      <c r="J1257" s="1709" t="s">
        <v>1451</v>
      </c>
    </row>
    <row r="1258" spans="8:12">
      <c r="H1258" s="1596" t="s">
        <v>1339</v>
      </c>
      <c r="I1258" s="1709" t="s">
        <v>606</v>
      </c>
      <c r="J1258" s="1709" t="s">
        <v>1460</v>
      </c>
    </row>
    <row r="1259" spans="8:12">
      <c r="H1259" s="1596" t="s">
        <v>1414</v>
      </c>
      <c r="I1259" s="1709" t="s">
        <v>606</v>
      </c>
      <c r="J1259" s="1709" t="s">
        <v>1534</v>
      </c>
    </row>
    <row r="1260" spans="8:12">
      <c r="H1260" s="1596" t="s">
        <v>1385</v>
      </c>
      <c r="I1260" s="1709" t="s">
        <v>606</v>
      </c>
      <c r="J1260" s="1709" t="s">
        <v>1506</v>
      </c>
    </row>
    <row r="1261" spans="8:12">
      <c r="H1261" s="1596" t="s">
        <v>4413</v>
      </c>
      <c r="I1261" s="1709" t="s">
        <v>606</v>
      </c>
      <c r="J1261" s="1709" t="s">
        <v>4414</v>
      </c>
    </row>
    <row r="1262" spans="8:12">
      <c r="H1262" s="1596" t="s">
        <v>1415</v>
      </c>
      <c r="I1262" s="1709" t="s">
        <v>606</v>
      </c>
      <c r="J1262" s="1709" t="s">
        <v>1535</v>
      </c>
    </row>
    <row r="1263" spans="8:12">
      <c r="H1263" s="1596" t="s">
        <v>4415</v>
      </c>
      <c r="I1263" s="1709" t="s">
        <v>606</v>
      </c>
      <c r="J1263" s="1709" t="s">
        <v>4416</v>
      </c>
    </row>
    <row r="1264" spans="8:12">
      <c r="H1264" s="1596" t="s">
        <v>1366</v>
      </c>
      <c r="I1264" s="1709" t="s">
        <v>606</v>
      </c>
      <c r="J1264" s="1709" t="s">
        <v>1487</v>
      </c>
    </row>
    <row r="1265" spans="8:10">
      <c r="H1265" s="1596" t="s">
        <v>4417</v>
      </c>
      <c r="I1265" s="1709" t="s">
        <v>606</v>
      </c>
      <c r="J1265" s="1709" t="s">
        <v>4418</v>
      </c>
    </row>
    <row r="1266" spans="8:10">
      <c r="H1266" s="1596" t="s">
        <v>4419</v>
      </c>
      <c r="I1266" s="1709" t="s">
        <v>606</v>
      </c>
      <c r="J1266" s="1709" t="s">
        <v>4420</v>
      </c>
    </row>
    <row r="1267" spans="8:10">
      <c r="H1267" s="1596" t="s">
        <v>1387</v>
      </c>
      <c r="I1267" s="1709" t="s">
        <v>606</v>
      </c>
      <c r="J1267" s="1709" t="s">
        <v>1508</v>
      </c>
    </row>
    <row r="1268" spans="8:10">
      <c r="H1268" s="1596" t="s">
        <v>1416</v>
      </c>
      <c r="I1268" s="1709" t="s">
        <v>606</v>
      </c>
      <c r="J1268" s="1709" t="s">
        <v>1536</v>
      </c>
    </row>
    <row r="1269" spans="8:10">
      <c r="H1269" s="1596" t="s">
        <v>2087</v>
      </c>
      <c r="I1269" s="1709" t="s">
        <v>606</v>
      </c>
      <c r="J1269" s="1709" t="s">
        <v>4421</v>
      </c>
    </row>
    <row r="1270" spans="8:10">
      <c r="H1270" s="1596" t="s">
        <v>4422</v>
      </c>
      <c r="I1270" s="1709" t="s">
        <v>606</v>
      </c>
      <c r="J1270" s="1709" t="s">
        <v>4423</v>
      </c>
    </row>
    <row r="1271" spans="8:10">
      <c r="H1271" s="1596" t="s">
        <v>4424</v>
      </c>
      <c r="I1271" s="1709" t="s">
        <v>606</v>
      </c>
      <c r="J1271" s="1709" t="s">
        <v>4425</v>
      </c>
    </row>
    <row r="1272" spans="8:10">
      <c r="H1272" s="1596" t="s">
        <v>1417</v>
      </c>
      <c r="I1272" s="1709" t="s">
        <v>606</v>
      </c>
      <c r="J1272" s="1709" t="s">
        <v>1537</v>
      </c>
    </row>
    <row r="1273" spans="8:10">
      <c r="H1273" s="1596" t="s">
        <v>4426</v>
      </c>
      <c r="I1273" s="1709" t="s">
        <v>606</v>
      </c>
      <c r="J1273" s="1709" t="s">
        <v>4427</v>
      </c>
    </row>
    <row r="1274" spans="8:10">
      <c r="H1274" s="1596" t="s">
        <v>4428</v>
      </c>
      <c r="I1274" s="1709" t="s">
        <v>606</v>
      </c>
      <c r="J1274" s="1709" t="s">
        <v>4429</v>
      </c>
    </row>
    <row r="1275" spans="8:10">
      <c r="H1275" s="1596" t="s">
        <v>4430</v>
      </c>
      <c r="I1275" s="1709" t="s">
        <v>606</v>
      </c>
      <c r="J1275" s="1709" t="s">
        <v>4431</v>
      </c>
    </row>
    <row r="1276" spans="8:10">
      <c r="H1276" s="1596" t="s">
        <v>4432</v>
      </c>
      <c r="I1276" s="1709" t="s">
        <v>606</v>
      </c>
      <c r="J1276" s="1709" t="s">
        <v>4433</v>
      </c>
    </row>
    <row r="1277" spans="8:10">
      <c r="H1277" s="1596" t="s">
        <v>4434</v>
      </c>
      <c r="I1277" s="1709" t="s">
        <v>606</v>
      </c>
      <c r="J1277" s="1709" t="s">
        <v>4435</v>
      </c>
    </row>
    <row r="1278" spans="8:10">
      <c r="H1278" s="1596" t="s">
        <v>4436</v>
      </c>
      <c r="I1278" s="1709" t="s">
        <v>606</v>
      </c>
      <c r="J1278" s="1709" t="s">
        <v>4437</v>
      </c>
    </row>
    <row r="1279" spans="8:10">
      <c r="H1279" s="1596" t="s">
        <v>4438</v>
      </c>
      <c r="I1279" s="1709" t="s">
        <v>606</v>
      </c>
      <c r="J1279" s="1709" t="s">
        <v>4439</v>
      </c>
    </row>
    <row r="1280" spans="8:10">
      <c r="H1280" s="1596" t="s">
        <v>4440</v>
      </c>
      <c r="I1280" s="1709" t="s">
        <v>606</v>
      </c>
      <c r="J1280" s="1709" t="s">
        <v>4441</v>
      </c>
    </row>
    <row r="1281" spans="8:10">
      <c r="H1281" s="1596" t="s">
        <v>4442</v>
      </c>
      <c r="I1281" s="1709" t="s">
        <v>606</v>
      </c>
      <c r="J1281" s="1709" t="s">
        <v>4443</v>
      </c>
    </row>
    <row r="1282" spans="8:10">
      <c r="H1282" s="1596" t="s">
        <v>4444</v>
      </c>
      <c r="I1282" s="1709" t="s">
        <v>606</v>
      </c>
      <c r="J1282" s="1709" t="s">
        <v>4445</v>
      </c>
    </row>
    <row r="1283" spans="8:10">
      <c r="H1283" s="1596" t="s">
        <v>4446</v>
      </c>
      <c r="I1283" s="1709" t="s">
        <v>606</v>
      </c>
      <c r="J1283" s="1709" t="s">
        <v>4447</v>
      </c>
    </row>
    <row r="1284" spans="8:10">
      <c r="H1284" s="1596" t="s">
        <v>1367</v>
      </c>
      <c r="I1284" s="1709" t="s">
        <v>606</v>
      </c>
      <c r="J1284" s="1709" t="s">
        <v>1488</v>
      </c>
    </row>
    <row r="1285" spans="8:10">
      <c r="H1285" s="1596" t="s">
        <v>4448</v>
      </c>
      <c r="I1285" s="1709" t="s">
        <v>606</v>
      </c>
      <c r="J1285" s="1709" t="s">
        <v>4449</v>
      </c>
    </row>
    <row r="1286" spans="8:10">
      <c r="H1286" s="1596" t="s">
        <v>4450</v>
      </c>
      <c r="I1286" s="1709" t="s">
        <v>606</v>
      </c>
      <c r="J1286" s="1709" t="s">
        <v>4451</v>
      </c>
    </row>
    <row r="1287" spans="8:10">
      <c r="H1287" s="1596" t="s">
        <v>4452</v>
      </c>
      <c r="I1287" s="1709" t="s">
        <v>606</v>
      </c>
      <c r="J1287" s="1709" t="s">
        <v>4453</v>
      </c>
    </row>
    <row r="1288" spans="8:10">
      <c r="H1288" s="1596" t="s">
        <v>4454</v>
      </c>
      <c r="I1288" s="1709" t="s">
        <v>606</v>
      </c>
      <c r="J1288" s="1709" t="s">
        <v>4455</v>
      </c>
    </row>
    <row r="1289" spans="8:10">
      <c r="H1289" s="1596" t="s">
        <v>4456</v>
      </c>
      <c r="I1289" s="1709" t="s">
        <v>606</v>
      </c>
      <c r="J1289" s="1709" t="s">
        <v>4457</v>
      </c>
    </row>
    <row r="1290" spans="8:10">
      <c r="H1290" s="1596" t="s">
        <v>4458</v>
      </c>
      <c r="I1290" s="1709" t="s">
        <v>606</v>
      </c>
      <c r="J1290" s="1709" t="s">
        <v>4459</v>
      </c>
    </row>
    <row r="1291" spans="8:10">
      <c r="H1291" s="1596" t="s">
        <v>4460</v>
      </c>
      <c r="I1291" s="1709" t="s">
        <v>606</v>
      </c>
      <c r="J1291" s="1709" t="s">
        <v>4461</v>
      </c>
    </row>
    <row r="1292" spans="8:10">
      <c r="H1292" s="1596" t="s">
        <v>4462</v>
      </c>
      <c r="I1292" s="1709" t="s">
        <v>606</v>
      </c>
      <c r="J1292" s="1709" t="s">
        <v>4463</v>
      </c>
    </row>
    <row r="1293" spans="8:10">
      <c r="H1293" s="1596" t="s">
        <v>4464</v>
      </c>
      <c r="I1293" s="1709" t="s">
        <v>606</v>
      </c>
      <c r="J1293" s="1709" t="s">
        <v>4465</v>
      </c>
    </row>
    <row r="1294" spans="8:10">
      <c r="H1294" s="1596" t="s">
        <v>4466</v>
      </c>
      <c r="I1294" s="1709" t="s">
        <v>606</v>
      </c>
      <c r="J1294" s="1709" t="s">
        <v>4467</v>
      </c>
    </row>
    <row r="1295" spans="8:10">
      <c r="H1295" s="1596" t="s">
        <v>4468</v>
      </c>
      <c r="I1295" s="1709" t="s">
        <v>606</v>
      </c>
      <c r="J1295" s="1709" t="s">
        <v>4469</v>
      </c>
    </row>
    <row r="1296" spans="8:10">
      <c r="H1296" s="1596" t="s">
        <v>4470</v>
      </c>
      <c r="I1296" s="1709" t="s">
        <v>606</v>
      </c>
      <c r="J1296" s="1709" t="s">
        <v>4471</v>
      </c>
    </row>
    <row r="1297" spans="8:12">
      <c r="H1297" s="1596" t="s">
        <v>4472</v>
      </c>
      <c r="I1297" s="1709" t="s">
        <v>606</v>
      </c>
      <c r="J1297" s="1709" t="s">
        <v>4473</v>
      </c>
    </row>
    <row r="1298" spans="8:12">
      <c r="H1298" s="1596" t="s">
        <v>4474</v>
      </c>
      <c r="I1298" s="1709" t="s">
        <v>606</v>
      </c>
      <c r="J1298" s="1709" t="s">
        <v>4475</v>
      </c>
    </row>
    <row r="1299" spans="8:12">
      <c r="H1299" s="1596" t="s">
        <v>4476</v>
      </c>
      <c r="I1299" s="1709" t="s">
        <v>606</v>
      </c>
      <c r="J1299" s="1709" t="s">
        <v>4477</v>
      </c>
    </row>
    <row r="1300" spans="8:12">
      <c r="H1300" s="1596" t="s">
        <v>5614</v>
      </c>
      <c r="I1300" s="1709" t="s">
        <v>607</v>
      </c>
      <c r="K1300" s="1709">
        <f>ROW()</f>
        <v>1300</v>
      </c>
      <c r="L1300" s="1709">
        <f>K1300+COUNTIF($I$118:$I$1905,I1300)-1</f>
        <v>1341</v>
      </c>
    </row>
    <row r="1301" spans="8:12">
      <c r="H1301" s="1596" t="s">
        <v>1331</v>
      </c>
      <c r="I1301" s="1709" t="s">
        <v>607</v>
      </c>
      <c r="J1301" s="1709" t="s">
        <v>1452</v>
      </c>
    </row>
    <row r="1302" spans="8:12">
      <c r="H1302" s="1596" t="s">
        <v>1368</v>
      </c>
      <c r="I1302" s="1709" t="s">
        <v>607</v>
      </c>
      <c r="J1302" s="1709" t="s">
        <v>1489</v>
      </c>
    </row>
    <row r="1303" spans="8:12">
      <c r="H1303" s="1596" t="s">
        <v>1369</v>
      </c>
      <c r="I1303" s="1709" t="s">
        <v>607</v>
      </c>
      <c r="J1303" s="1709" t="s">
        <v>1490</v>
      </c>
    </row>
    <row r="1304" spans="8:12">
      <c r="H1304" s="1596" t="s">
        <v>2088</v>
      </c>
      <c r="I1304" s="1709" t="s">
        <v>607</v>
      </c>
      <c r="J1304" s="1709" t="s">
        <v>4478</v>
      </c>
    </row>
    <row r="1305" spans="8:12">
      <c r="H1305" s="1596" t="s">
        <v>1370</v>
      </c>
      <c r="I1305" s="1709" t="s">
        <v>607</v>
      </c>
      <c r="J1305" s="1709" t="s">
        <v>1491</v>
      </c>
    </row>
    <row r="1306" spans="8:12">
      <c r="H1306" s="1596" t="s">
        <v>4479</v>
      </c>
      <c r="I1306" s="1709" t="s">
        <v>607</v>
      </c>
      <c r="J1306" s="1709" t="s">
        <v>4480</v>
      </c>
    </row>
    <row r="1307" spans="8:12">
      <c r="H1307" s="1596" t="s">
        <v>4481</v>
      </c>
      <c r="I1307" s="1709" t="s">
        <v>607</v>
      </c>
      <c r="J1307" s="1709" t="s">
        <v>4482</v>
      </c>
    </row>
    <row r="1308" spans="8:12">
      <c r="H1308" s="1596" t="s">
        <v>4483</v>
      </c>
      <c r="I1308" s="1709" t="s">
        <v>607</v>
      </c>
      <c r="J1308" s="1709" t="s">
        <v>4484</v>
      </c>
    </row>
    <row r="1309" spans="8:12">
      <c r="H1309" s="1596" t="s">
        <v>4485</v>
      </c>
      <c r="I1309" s="1709" t="s">
        <v>607</v>
      </c>
      <c r="J1309" s="1709" t="s">
        <v>4486</v>
      </c>
    </row>
    <row r="1310" spans="8:12">
      <c r="H1310" s="1596" t="s">
        <v>4487</v>
      </c>
      <c r="I1310" s="1709" t="s">
        <v>607</v>
      </c>
      <c r="J1310" s="1709" t="s">
        <v>4488</v>
      </c>
    </row>
    <row r="1311" spans="8:12">
      <c r="H1311" s="1596" t="s">
        <v>1418</v>
      </c>
      <c r="I1311" s="1709" t="s">
        <v>607</v>
      </c>
      <c r="J1311" s="1709" t="s">
        <v>1538</v>
      </c>
    </row>
    <row r="1312" spans="8:12">
      <c r="H1312" s="1596" t="s">
        <v>4489</v>
      </c>
      <c r="I1312" s="1709" t="s">
        <v>607</v>
      </c>
      <c r="J1312" s="1709" t="s">
        <v>4490</v>
      </c>
    </row>
    <row r="1313" spans="8:10">
      <c r="H1313" s="1596" t="s">
        <v>4491</v>
      </c>
      <c r="I1313" s="1709" t="s">
        <v>607</v>
      </c>
      <c r="J1313" s="1709" t="s">
        <v>4492</v>
      </c>
    </row>
    <row r="1314" spans="8:10">
      <c r="H1314" s="1596" t="s">
        <v>1419</v>
      </c>
      <c r="I1314" s="1709" t="s">
        <v>607</v>
      </c>
      <c r="J1314" s="1709" t="s">
        <v>1539</v>
      </c>
    </row>
    <row r="1315" spans="8:10">
      <c r="H1315" s="1596" t="s">
        <v>4493</v>
      </c>
      <c r="I1315" s="1709" t="s">
        <v>607</v>
      </c>
      <c r="J1315" s="1709" t="s">
        <v>4494</v>
      </c>
    </row>
    <row r="1316" spans="8:10">
      <c r="H1316" s="1596" t="s">
        <v>4495</v>
      </c>
      <c r="I1316" s="1709" t="s">
        <v>607</v>
      </c>
      <c r="J1316" s="1709" t="s">
        <v>4496</v>
      </c>
    </row>
    <row r="1317" spans="8:10">
      <c r="H1317" s="1596" t="s">
        <v>4497</v>
      </c>
      <c r="I1317" s="1709" t="s">
        <v>607</v>
      </c>
      <c r="J1317" s="1709" t="s">
        <v>4498</v>
      </c>
    </row>
    <row r="1318" spans="8:10">
      <c r="H1318" s="1596" t="s">
        <v>4499</v>
      </c>
      <c r="I1318" s="1709" t="s">
        <v>607</v>
      </c>
      <c r="J1318" s="1709" t="s">
        <v>4500</v>
      </c>
    </row>
    <row r="1319" spans="8:10">
      <c r="H1319" s="1596" t="s">
        <v>4501</v>
      </c>
      <c r="I1319" s="1709" t="s">
        <v>607</v>
      </c>
      <c r="J1319" s="1709" t="s">
        <v>4502</v>
      </c>
    </row>
    <row r="1320" spans="8:10">
      <c r="H1320" s="1596" t="s">
        <v>4503</v>
      </c>
      <c r="I1320" s="1709" t="s">
        <v>607</v>
      </c>
      <c r="J1320" s="1709" t="s">
        <v>4504</v>
      </c>
    </row>
    <row r="1321" spans="8:10">
      <c r="H1321" s="1596" t="s">
        <v>4505</v>
      </c>
      <c r="I1321" s="1709" t="s">
        <v>607</v>
      </c>
      <c r="J1321" s="1709" t="s">
        <v>4506</v>
      </c>
    </row>
    <row r="1322" spans="8:10">
      <c r="H1322" s="1596" t="s">
        <v>4507</v>
      </c>
      <c r="I1322" s="1709" t="s">
        <v>607</v>
      </c>
      <c r="J1322" s="1709" t="s">
        <v>4508</v>
      </c>
    </row>
    <row r="1323" spans="8:10">
      <c r="H1323" s="1596" t="s">
        <v>4509</v>
      </c>
      <c r="I1323" s="1709" t="s">
        <v>607</v>
      </c>
      <c r="J1323" s="1709" t="s">
        <v>4510</v>
      </c>
    </row>
    <row r="1324" spans="8:10">
      <c r="H1324" s="1596" t="s">
        <v>4511</v>
      </c>
      <c r="I1324" s="1709" t="s">
        <v>607</v>
      </c>
      <c r="J1324" s="1709" t="s">
        <v>4512</v>
      </c>
    </row>
    <row r="1325" spans="8:10">
      <c r="H1325" s="1596" t="s">
        <v>4513</v>
      </c>
      <c r="I1325" s="1709" t="s">
        <v>607</v>
      </c>
      <c r="J1325" s="1709" t="s">
        <v>4514</v>
      </c>
    </row>
    <row r="1326" spans="8:10">
      <c r="H1326" s="1596" t="s">
        <v>4515</v>
      </c>
      <c r="I1326" s="1709" t="s">
        <v>607</v>
      </c>
      <c r="J1326" s="1709" t="s">
        <v>4516</v>
      </c>
    </row>
    <row r="1327" spans="8:10">
      <c r="H1327" s="1596" t="s">
        <v>4517</v>
      </c>
      <c r="I1327" s="1709" t="s">
        <v>607</v>
      </c>
      <c r="J1327" s="1709" t="s">
        <v>4518</v>
      </c>
    </row>
    <row r="1328" spans="8:10">
      <c r="H1328" s="1596" t="s">
        <v>4519</v>
      </c>
      <c r="I1328" s="1709" t="s">
        <v>607</v>
      </c>
      <c r="J1328" s="1709" t="s">
        <v>4520</v>
      </c>
    </row>
    <row r="1329" spans="8:12">
      <c r="H1329" s="1596" t="s">
        <v>4521</v>
      </c>
      <c r="I1329" s="1709" t="s">
        <v>607</v>
      </c>
      <c r="J1329" s="1709" t="s">
        <v>4522</v>
      </c>
    </row>
    <row r="1330" spans="8:12">
      <c r="H1330" s="1596" t="s">
        <v>4523</v>
      </c>
      <c r="I1330" s="1709" t="s">
        <v>607</v>
      </c>
      <c r="J1330" s="1709" t="s">
        <v>4524</v>
      </c>
    </row>
    <row r="1331" spans="8:12">
      <c r="H1331" s="1596" t="s">
        <v>4525</v>
      </c>
      <c r="I1331" s="1709" t="s">
        <v>607</v>
      </c>
      <c r="J1331" s="1709" t="s">
        <v>4526</v>
      </c>
    </row>
    <row r="1332" spans="8:12">
      <c r="H1332" s="1596" t="s">
        <v>4527</v>
      </c>
      <c r="I1332" s="1709" t="s">
        <v>607</v>
      </c>
      <c r="J1332" s="1709" t="s">
        <v>4528</v>
      </c>
    </row>
    <row r="1333" spans="8:12">
      <c r="H1333" s="1596" t="s">
        <v>4529</v>
      </c>
      <c r="I1333" s="1709" t="s">
        <v>607</v>
      </c>
      <c r="J1333" s="1709" t="s">
        <v>4530</v>
      </c>
    </row>
    <row r="1334" spans="8:12">
      <c r="H1334" s="1596" t="s">
        <v>4531</v>
      </c>
      <c r="I1334" s="1709" t="s">
        <v>607</v>
      </c>
      <c r="J1334" s="1709" t="s">
        <v>4532</v>
      </c>
    </row>
    <row r="1335" spans="8:12">
      <c r="H1335" s="1596" t="s">
        <v>4533</v>
      </c>
      <c r="I1335" s="1709" t="s">
        <v>607</v>
      </c>
      <c r="J1335" s="1709" t="s">
        <v>4534</v>
      </c>
    </row>
    <row r="1336" spans="8:12">
      <c r="H1336" s="1596" t="s">
        <v>4535</v>
      </c>
      <c r="I1336" s="1709" t="s">
        <v>607</v>
      </c>
      <c r="J1336" s="1709" t="s">
        <v>4536</v>
      </c>
    </row>
    <row r="1337" spans="8:12">
      <c r="H1337" s="1596" t="s">
        <v>4537</v>
      </c>
      <c r="I1337" s="1709" t="s">
        <v>607</v>
      </c>
      <c r="J1337" s="1709" t="s">
        <v>4473</v>
      </c>
    </row>
    <row r="1338" spans="8:12">
      <c r="H1338" s="1596" t="s">
        <v>4538</v>
      </c>
      <c r="I1338" s="1709" t="s">
        <v>607</v>
      </c>
      <c r="J1338" s="1709" t="s">
        <v>4539</v>
      </c>
    </row>
    <row r="1339" spans="8:12">
      <c r="H1339" s="1596" t="s">
        <v>4540</v>
      </c>
      <c r="I1339" s="1709" t="s">
        <v>607</v>
      </c>
      <c r="J1339" s="1709" t="s">
        <v>4541</v>
      </c>
    </row>
    <row r="1340" spans="8:12">
      <c r="H1340" s="1596" t="s">
        <v>4542</v>
      </c>
      <c r="I1340" s="1709" t="s">
        <v>607</v>
      </c>
      <c r="J1340" s="1709" t="s">
        <v>4543</v>
      </c>
    </row>
    <row r="1341" spans="8:12">
      <c r="H1341" s="1596" t="s">
        <v>4544</v>
      </c>
      <c r="I1341" s="1709" t="s">
        <v>607</v>
      </c>
      <c r="J1341" s="1709" t="s">
        <v>4545</v>
      </c>
    </row>
    <row r="1342" spans="8:12">
      <c r="H1342" s="1596" t="s">
        <v>5615</v>
      </c>
      <c r="I1342" s="1709" t="s">
        <v>608</v>
      </c>
      <c r="K1342" s="1709">
        <f>ROW()</f>
        <v>1342</v>
      </c>
      <c r="L1342" s="1709">
        <f>K1342+COUNTIF($I$118:$I$1905,I1342)-1</f>
        <v>1381</v>
      </c>
    </row>
    <row r="1343" spans="8:12">
      <c r="H1343" s="1596" t="s">
        <v>1371</v>
      </c>
      <c r="I1343" s="1709" t="s">
        <v>608</v>
      </c>
      <c r="J1343" s="1709" t="s">
        <v>1492</v>
      </c>
    </row>
    <row r="1344" spans="8:12">
      <c r="H1344" s="1596" t="s">
        <v>4546</v>
      </c>
      <c r="I1344" s="1709" t="s">
        <v>608</v>
      </c>
      <c r="J1344" s="1709" t="s">
        <v>4547</v>
      </c>
    </row>
    <row r="1345" spans="8:10">
      <c r="H1345" s="1596" t="s">
        <v>4548</v>
      </c>
      <c r="I1345" s="1709" t="s">
        <v>608</v>
      </c>
      <c r="J1345" s="1709" t="s">
        <v>4549</v>
      </c>
    </row>
    <row r="1346" spans="8:10">
      <c r="H1346" s="1596" t="s">
        <v>4550</v>
      </c>
      <c r="I1346" s="1709" t="s">
        <v>608</v>
      </c>
      <c r="J1346" s="1709" t="s">
        <v>4551</v>
      </c>
    </row>
    <row r="1347" spans="8:10">
      <c r="H1347" s="1596" t="s">
        <v>4552</v>
      </c>
      <c r="I1347" s="1709" t="s">
        <v>608</v>
      </c>
      <c r="J1347" s="1709" t="s">
        <v>4553</v>
      </c>
    </row>
    <row r="1348" spans="8:10">
      <c r="H1348" s="1596" t="s">
        <v>4554</v>
      </c>
      <c r="I1348" s="1709" t="s">
        <v>608</v>
      </c>
      <c r="J1348" s="1709" t="s">
        <v>4555</v>
      </c>
    </row>
    <row r="1349" spans="8:10">
      <c r="H1349" s="1596" t="s">
        <v>4556</v>
      </c>
      <c r="I1349" s="1709" t="s">
        <v>608</v>
      </c>
      <c r="J1349" s="1709" t="s">
        <v>4557</v>
      </c>
    </row>
    <row r="1350" spans="8:10">
      <c r="H1350" s="1596" t="s">
        <v>4558</v>
      </c>
      <c r="I1350" s="1709" t="s">
        <v>608</v>
      </c>
      <c r="J1350" s="1709" t="s">
        <v>4559</v>
      </c>
    </row>
    <row r="1351" spans="8:10">
      <c r="H1351" s="1596" t="s">
        <v>4560</v>
      </c>
      <c r="I1351" s="1709" t="s">
        <v>608</v>
      </c>
      <c r="J1351" s="1709" t="s">
        <v>4561</v>
      </c>
    </row>
    <row r="1352" spans="8:10">
      <c r="H1352" s="1596" t="s">
        <v>4562</v>
      </c>
      <c r="I1352" s="1709" t="s">
        <v>608</v>
      </c>
      <c r="J1352" s="1709" t="s">
        <v>4563</v>
      </c>
    </row>
    <row r="1353" spans="8:10">
      <c r="H1353" s="1596" t="s">
        <v>4564</v>
      </c>
      <c r="I1353" s="1709" t="s">
        <v>608</v>
      </c>
      <c r="J1353" s="1709" t="s">
        <v>4565</v>
      </c>
    </row>
    <row r="1354" spans="8:10">
      <c r="H1354" s="1596" t="s">
        <v>4566</v>
      </c>
      <c r="I1354" s="1709" t="s">
        <v>608</v>
      </c>
      <c r="J1354" s="1709" t="s">
        <v>4567</v>
      </c>
    </row>
    <row r="1355" spans="8:10">
      <c r="H1355" s="1596" t="s">
        <v>4568</v>
      </c>
      <c r="I1355" s="1709" t="s">
        <v>608</v>
      </c>
      <c r="J1355" s="1709" t="s">
        <v>4569</v>
      </c>
    </row>
    <row r="1356" spans="8:10">
      <c r="H1356" s="1596" t="s">
        <v>4570</v>
      </c>
      <c r="I1356" s="1709" t="s">
        <v>608</v>
      </c>
      <c r="J1356" s="1709" t="s">
        <v>4571</v>
      </c>
    </row>
    <row r="1357" spans="8:10">
      <c r="H1357" s="1596" t="s">
        <v>4572</v>
      </c>
      <c r="I1357" s="1709" t="s">
        <v>608</v>
      </c>
      <c r="J1357" s="1709" t="s">
        <v>4573</v>
      </c>
    </row>
    <row r="1358" spans="8:10">
      <c r="H1358" s="1596" t="s">
        <v>4574</v>
      </c>
      <c r="I1358" s="1709" t="s">
        <v>608</v>
      </c>
      <c r="J1358" s="1709" t="s">
        <v>4575</v>
      </c>
    </row>
    <row r="1359" spans="8:10">
      <c r="H1359" s="1596" t="s">
        <v>4576</v>
      </c>
      <c r="I1359" s="1709" t="s">
        <v>608</v>
      </c>
      <c r="J1359" s="1709" t="s">
        <v>4577</v>
      </c>
    </row>
    <row r="1360" spans="8:10">
      <c r="H1360" s="1596" t="s">
        <v>4578</v>
      </c>
      <c r="I1360" s="1709" t="s">
        <v>608</v>
      </c>
      <c r="J1360" s="1709" t="s">
        <v>3038</v>
      </c>
    </row>
    <row r="1361" spans="8:10">
      <c r="H1361" s="1596" t="s">
        <v>4579</v>
      </c>
      <c r="I1361" s="1709" t="s">
        <v>608</v>
      </c>
      <c r="J1361" s="1709" t="s">
        <v>4580</v>
      </c>
    </row>
    <row r="1362" spans="8:10">
      <c r="H1362" s="1596" t="s">
        <v>4581</v>
      </c>
      <c r="I1362" s="1709" t="s">
        <v>608</v>
      </c>
      <c r="J1362" s="1709" t="s">
        <v>4582</v>
      </c>
    </row>
    <row r="1363" spans="8:10">
      <c r="H1363" s="1596" t="s">
        <v>4583</v>
      </c>
      <c r="I1363" s="1709" t="s">
        <v>608</v>
      </c>
      <c r="J1363" s="1709" t="s">
        <v>4584</v>
      </c>
    </row>
    <row r="1364" spans="8:10">
      <c r="H1364" s="1596" t="s">
        <v>4585</v>
      </c>
      <c r="I1364" s="1709" t="s">
        <v>608</v>
      </c>
      <c r="J1364" s="1709" t="s">
        <v>4586</v>
      </c>
    </row>
    <row r="1365" spans="8:10">
      <c r="H1365" s="1596" t="s">
        <v>4587</v>
      </c>
      <c r="I1365" s="1709" t="s">
        <v>608</v>
      </c>
      <c r="J1365" s="1709" t="s">
        <v>4588</v>
      </c>
    </row>
    <row r="1366" spans="8:10">
      <c r="H1366" s="1596" t="s">
        <v>4589</v>
      </c>
      <c r="I1366" s="1709" t="s">
        <v>608</v>
      </c>
      <c r="J1366" s="1709" t="s">
        <v>4590</v>
      </c>
    </row>
    <row r="1367" spans="8:10">
      <c r="H1367" s="1596" t="s">
        <v>4591</v>
      </c>
      <c r="I1367" s="1709" t="s">
        <v>608</v>
      </c>
      <c r="J1367" s="1709" t="s">
        <v>4592</v>
      </c>
    </row>
    <row r="1368" spans="8:10">
      <c r="H1368" s="1596" t="s">
        <v>4593</v>
      </c>
      <c r="I1368" s="1709" t="s">
        <v>608</v>
      </c>
      <c r="J1368" s="1709" t="s">
        <v>4594</v>
      </c>
    </row>
    <row r="1369" spans="8:10">
      <c r="H1369" s="1596" t="s">
        <v>4595</v>
      </c>
      <c r="I1369" s="1709" t="s">
        <v>608</v>
      </c>
      <c r="J1369" s="1709" t="s">
        <v>4596</v>
      </c>
    </row>
    <row r="1370" spans="8:10">
      <c r="H1370" s="1596" t="s">
        <v>4597</v>
      </c>
      <c r="I1370" s="1709" t="s">
        <v>608</v>
      </c>
      <c r="J1370" s="1709" t="s">
        <v>4598</v>
      </c>
    </row>
    <row r="1371" spans="8:10">
      <c r="H1371" s="1596" t="s">
        <v>4599</v>
      </c>
      <c r="I1371" s="1709" t="s">
        <v>608</v>
      </c>
      <c r="J1371" s="1709" t="s">
        <v>4600</v>
      </c>
    </row>
    <row r="1372" spans="8:10">
      <c r="H1372" s="1596" t="s">
        <v>4601</v>
      </c>
      <c r="I1372" s="1709" t="s">
        <v>608</v>
      </c>
      <c r="J1372" s="1709" t="s">
        <v>4602</v>
      </c>
    </row>
    <row r="1373" spans="8:10">
      <c r="H1373" s="1596" t="s">
        <v>4603</v>
      </c>
      <c r="I1373" s="1709" t="s">
        <v>608</v>
      </c>
      <c r="J1373" s="1709" t="s">
        <v>4604</v>
      </c>
    </row>
    <row r="1374" spans="8:10">
      <c r="H1374" s="1596" t="s">
        <v>4605</v>
      </c>
      <c r="I1374" s="1709" t="s">
        <v>608</v>
      </c>
      <c r="J1374" s="1709" t="s">
        <v>4606</v>
      </c>
    </row>
    <row r="1375" spans="8:10">
      <c r="H1375" s="1596" t="s">
        <v>4607</v>
      </c>
      <c r="I1375" s="1709" t="s">
        <v>608</v>
      </c>
      <c r="J1375" s="1709" t="s">
        <v>4608</v>
      </c>
    </row>
    <row r="1376" spans="8:10">
      <c r="H1376" s="1596" t="s">
        <v>4609</v>
      </c>
      <c r="I1376" s="1709" t="s">
        <v>608</v>
      </c>
      <c r="J1376" s="1709" t="s">
        <v>4610</v>
      </c>
    </row>
    <row r="1377" spans="8:12">
      <c r="H1377" s="1596" t="s">
        <v>4611</v>
      </c>
      <c r="I1377" s="1709" t="s">
        <v>608</v>
      </c>
      <c r="J1377" s="1709" t="s">
        <v>4612</v>
      </c>
    </row>
    <row r="1378" spans="8:12">
      <c r="H1378" s="1596" t="s">
        <v>4613</v>
      </c>
      <c r="I1378" s="1709" t="s">
        <v>608</v>
      </c>
      <c r="J1378" s="1709" t="s">
        <v>4614</v>
      </c>
    </row>
    <row r="1379" spans="8:12">
      <c r="H1379" s="1596" t="s">
        <v>4615</v>
      </c>
      <c r="I1379" s="1709" t="s">
        <v>608</v>
      </c>
      <c r="J1379" s="1709" t="s">
        <v>4616</v>
      </c>
    </row>
    <row r="1380" spans="8:12">
      <c r="H1380" s="1596" t="s">
        <v>4617</v>
      </c>
      <c r="I1380" s="1709" t="s">
        <v>608</v>
      </c>
      <c r="J1380" s="1709" t="s">
        <v>3926</v>
      </c>
    </row>
    <row r="1381" spans="8:12">
      <c r="H1381" s="1596" t="s">
        <v>4618</v>
      </c>
      <c r="I1381" s="1709" t="s">
        <v>608</v>
      </c>
      <c r="J1381" s="1709" t="s">
        <v>4619</v>
      </c>
    </row>
    <row r="1382" spans="8:12">
      <c r="H1382" s="1596" t="s">
        <v>5616</v>
      </c>
      <c r="I1382" s="1709" t="s">
        <v>609</v>
      </c>
      <c r="K1382" s="1709">
        <f>ROW()</f>
        <v>1382</v>
      </c>
      <c r="L1382" s="1709">
        <f>K1382+COUNTIF($I$118:$I$1905,I1382)-1</f>
        <v>1412</v>
      </c>
    </row>
    <row r="1383" spans="8:12">
      <c r="H1383" s="1596" t="s">
        <v>1372</v>
      </c>
      <c r="I1383" s="1709" t="s">
        <v>609</v>
      </c>
      <c r="J1383" s="1709" t="s">
        <v>1493</v>
      </c>
    </row>
    <row r="1384" spans="8:12">
      <c r="H1384" s="1596" t="s">
        <v>4620</v>
      </c>
      <c r="I1384" s="1709" t="s">
        <v>609</v>
      </c>
      <c r="J1384" s="1709" t="s">
        <v>4621</v>
      </c>
    </row>
    <row r="1385" spans="8:12">
      <c r="H1385" s="1596" t="s">
        <v>4622</v>
      </c>
      <c r="I1385" s="1709" t="s">
        <v>609</v>
      </c>
      <c r="J1385" s="1709" t="s">
        <v>4623</v>
      </c>
    </row>
    <row r="1386" spans="8:12">
      <c r="H1386" s="1596" t="s">
        <v>4624</v>
      </c>
      <c r="I1386" s="1709" t="s">
        <v>609</v>
      </c>
      <c r="J1386" s="1709" t="s">
        <v>4625</v>
      </c>
    </row>
    <row r="1387" spans="8:12">
      <c r="H1387" s="1596" t="s">
        <v>4626</v>
      </c>
      <c r="I1387" s="1709" t="s">
        <v>609</v>
      </c>
      <c r="J1387" s="1709" t="s">
        <v>4627</v>
      </c>
    </row>
    <row r="1388" spans="8:12">
      <c r="H1388" s="1596" t="s">
        <v>4628</v>
      </c>
      <c r="I1388" s="1709" t="s">
        <v>609</v>
      </c>
      <c r="J1388" s="1709" t="s">
        <v>4629</v>
      </c>
    </row>
    <row r="1389" spans="8:12">
      <c r="H1389" s="1596" t="s">
        <v>4630</v>
      </c>
      <c r="I1389" s="1709" t="s">
        <v>609</v>
      </c>
      <c r="J1389" s="1709" t="s">
        <v>4631</v>
      </c>
    </row>
    <row r="1390" spans="8:12">
      <c r="H1390" s="1596" t="s">
        <v>4632</v>
      </c>
      <c r="I1390" s="1709" t="s">
        <v>609</v>
      </c>
      <c r="J1390" s="1709" t="s">
        <v>4633</v>
      </c>
    </row>
    <row r="1391" spans="8:12">
      <c r="H1391" s="1596" t="s">
        <v>4634</v>
      </c>
      <c r="I1391" s="1709" t="s">
        <v>609</v>
      </c>
      <c r="J1391" s="1709" t="s">
        <v>4635</v>
      </c>
    </row>
    <row r="1392" spans="8:12">
      <c r="H1392" s="1596" t="s">
        <v>4636</v>
      </c>
      <c r="I1392" s="1709" t="s">
        <v>609</v>
      </c>
      <c r="J1392" s="1709" t="s">
        <v>4637</v>
      </c>
    </row>
    <row r="1393" spans="8:10">
      <c r="H1393" s="1596" t="s">
        <v>4638</v>
      </c>
      <c r="I1393" s="1709" t="s">
        <v>609</v>
      </c>
      <c r="J1393" s="1709" t="s">
        <v>4639</v>
      </c>
    </row>
    <row r="1394" spans="8:10">
      <c r="H1394" s="1596" t="s">
        <v>4640</v>
      </c>
      <c r="I1394" s="1709" t="s">
        <v>609</v>
      </c>
      <c r="J1394" s="1709" t="s">
        <v>4641</v>
      </c>
    </row>
    <row r="1395" spans="8:10">
      <c r="H1395" s="1596" t="s">
        <v>4642</v>
      </c>
      <c r="I1395" s="1709" t="s">
        <v>609</v>
      </c>
      <c r="J1395" s="1709" t="s">
        <v>4643</v>
      </c>
    </row>
    <row r="1396" spans="8:10">
      <c r="H1396" s="1596" t="s">
        <v>4644</v>
      </c>
      <c r="I1396" s="1709" t="s">
        <v>609</v>
      </c>
      <c r="J1396" s="1709" t="s">
        <v>4645</v>
      </c>
    </row>
    <row r="1397" spans="8:10">
      <c r="H1397" s="1596" t="s">
        <v>4646</v>
      </c>
      <c r="I1397" s="1709" t="s">
        <v>609</v>
      </c>
      <c r="J1397" s="1709" t="s">
        <v>4647</v>
      </c>
    </row>
    <row r="1398" spans="8:10">
      <c r="H1398" s="1596" t="s">
        <v>4648</v>
      </c>
      <c r="I1398" s="1709" t="s">
        <v>609</v>
      </c>
      <c r="J1398" s="1709" t="s">
        <v>4649</v>
      </c>
    </row>
    <row r="1399" spans="8:10">
      <c r="H1399" s="1596" t="s">
        <v>4650</v>
      </c>
      <c r="I1399" s="1709" t="s">
        <v>609</v>
      </c>
      <c r="J1399" s="1709" t="s">
        <v>3831</v>
      </c>
    </row>
    <row r="1400" spans="8:10">
      <c r="H1400" s="1596" t="s">
        <v>4651</v>
      </c>
      <c r="I1400" s="1709" t="s">
        <v>609</v>
      </c>
      <c r="J1400" s="1709" t="s">
        <v>2658</v>
      </c>
    </row>
    <row r="1401" spans="8:10">
      <c r="H1401" s="1596" t="s">
        <v>4652</v>
      </c>
      <c r="I1401" s="1709" t="s">
        <v>609</v>
      </c>
      <c r="J1401" s="1709" t="s">
        <v>4653</v>
      </c>
    </row>
    <row r="1402" spans="8:10">
      <c r="H1402" s="1596" t="s">
        <v>4654</v>
      </c>
      <c r="I1402" s="1709" t="s">
        <v>609</v>
      </c>
      <c r="J1402" s="1709" t="s">
        <v>4655</v>
      </c>
    </row>
    <row r="1403" spans="8:10">
      <c r="H1403" s="1596" t="s">
        <v>4656</v>
      </c>
      <c r="I1403" s="1709" t="s">
        <v>609</v>
      </c>
      <c r="J1403" s="1709" t="s">
        <v>4657</v>
      </c>
    </row>
    <row r="1404" spans="8:10">
      <c r="H1404" s="1596" t="s">
        <v>4658</v>
      </c>
      <c r="I1404" s="1709" t="s">
        <v>609</v>
      </c>
      <c r="J1404" s="1709" t="s">
        <v>4659</v>
      </c>
    </row>
    <row r="1405" spans="8:10">
      <c r="H1405" s="1596" t="s">
        <v>4660</v>
      </c>
      <c r="I1405" s="1709" t="s">
        <v>609</v>
      </c>
      <c r="J1405" s="1709" t="s">
        <v>4661</v>
      </c>
    </row>
    <row r="1406" spans="8:10">
      <c r="H1406" s="1596" t="s">
        <v>4662</v>
      </c>
      <c r="I1406" s="1709" t="s">
        <v>609</v>
      </c>
      <c r="J1406" s="1709" t="s">
        <v>4663</v>
      </c>
    </row>
    <row r="1407" spans="8:10">
      <c r="H1407" s="1596" t="s">
        <v>4664</v>
      </c>
      <c r="I1407" s="1709" t="s">
        <v>609</v>
      </c>
      <c r="J1407" s="1709" t="s">
        <v>4665</v>
      </c>
    </row>
    <row r="1408" spans="8:10">
      <c r="H1408" s="1596" t="s">
        <v>4666</v>
      </c>
      <c r="I1408" s="1709" t="s">
        <v>609</v>
      </c>
      <c r="J1408" s="1709" t="s">
        <v>4667</v>
      </c>
    </row>
    <row r="1409" spans="8:12">
      <c r="H1409" s="1596" t="s">
        <v>4668</v>
      </c>
      <c r="I1409" s="1709" t="s">
        <v>609</v>
      </c>
      <c r="J1409" s="1709" t="s">
        <v>4669</v>
      </c>
    </row>
    <row r="1410" spans="8:12">
      <c r="H1410" s="1596" t="s">
        <v>4670</v>
      </c>
      <c r="I1410" s="1709" t="s">
        <v>609</v>
      </c>
      <c r="J1410" s="1709" t="s">
        <v>4671</v>
      </c>
    </row>
    <row r="1411" spans="8:12">
      <c r="H1411" s="1596" t="s">
        <v>4672</v>
      </c>
      <c r="I1411" s="1709" t="s">
        <v>609</v>
      </c>
      <c r="J1411" s="1709" t="s">
        <v>4673</v>
      </c>
    </row>
    <row r="1412" spans="8:12">
      <c r="H1412" s="1596" t="s">
        <v>4674</v>
      </c>
      <c r="I1412" s="1709" t="s">
        <v>609</v>
      </c>
      <c r="J1412" s="1709" t="s">
        <v>4675</v>
      </c>
    </row>
    <row r="1413" spans="8:12">
      <c r="H1413" s="1596" t="s">
        <v>5617</v>
      </c>
      <c r="I1413" s="1709" t="s">
        <v>4676</v>
      </c>
      <c r="K1413" s="1709">
        <f>ROW()</f>
        <v>1413</v>
      </c>
      <c r="L1413" s="1709">
        <f>K1413+COUNTIF($I$118:$I$1905,I1413)-1</f>
        <v>1432</v>
      </c>
    </row>
    <row r="1414" spans="8:12">
      <c r="H1414" s="1596" t="s">
        <v>2089</v>
      </c>
      <c r="I1414" s="1709" t="s">
        <v>4676</v>
      </c>
      <c r="J1414" s="1709" t="s">
        <v>4677</v>
      </c>
    </row>
    <row r="1415" spans="8:12">
      <c r="H1415" s="1596" t="s">
        <v>4678</v>
      </c>
      <c r="I1415" s="1709" t="s">
        <v>4676</v>
      </c>
      <c r="J1415" s="1709" t="s">
        <v>4679</v>
      </c>
    </row>
    <row r="1416" spans="8:12">
      <c r="H1416" s="1596" t="s">
        <v>4680</v>
      </c>
      <c r="I1416" s="1709" t="s">
        <v>4676</v>
      </c>
      <c r="J1416" s="1709" t="s">
        <v>4681</v>
      </c>
    </row>
    <row r="1417" spans="8:12">
      <c r="H1417" s="1596" t="s">
        <v>4682</v>
      </c>
      <c r="I1417" s="1709" t="s">
        <v>4676</v>
      </c>
      <c r="J1417" s="1709" t="s">
        <v>4683</v>
      </c>
    </row>
    <row r="1418" spans="8:12">
      <c r="H1418" s="1596" t="s">
        <v>4684</v>
      </c>
      <c r="I1418" s="1709" t="s">
        <v>4676</v>
      </c>
      <c r="J1418" s="1709" t="s">
        <v>4685</v>
      </c>
    </row>
    <row r="1419" spans="8:12">
      <c r="H1419" s="1596" t="s">
        <v>4686</v>
      </c>
      <c r="I1419" s="1709" t="s">
        <v>4676</v>
      </c>
      <c r="J1419" s="1709" t="s">
        <v>4687</v>
      </c>
    </row>
    <row r="1420" spans="8:12">
      <c r="H1420" s="1596" t="s">
        <v>4688</v>
      </c>
      <c r="I1420" s="1709" t="s">
        <v>4676</v>
      </c>
      <c r="J1420" s="1709" t="s">
        <v>4689</v>
      </c>
    </row>
    <row r="1421" spans="8:12">
      <c r="H1421" s="1596" t="s">
        <v>4690</v>
      </c>
      <c r="I1421" s="1709" t="s">
        <v>4676</v>
      </c>
      <c r="J1421" s="1709" t="s">
        <v>4691</v>
      </c>
    </row>
    <row r="1422" spans="8:12">
      <c r="H1422" s="1596" t="s">
        <v>4692</v>
      </c>
      <c r="I1422" s="1709" t="s">
        <v>4676</v>
      </c>
      <c r="J1422" s="1709" t="s">
        <v>4693</v>
      </c>
    </row>
    <row r="1423" spans="8:12">
      <c r="H1423" s="1596" t="s">
        <v>4694</v>
      </c>
      <c r="I1423" s="1709" t="s">
        <v>4676</v>
      </c>
      <c r="J1423" s="1709" t="s">
        <v>4695</v>
      </c>
    </row>
    <row r="1424" spans="8:12">
      <c r="H1424" s="1596" t="s">
        <v>4696</v>
      </c>
      <c r="I1424" s="1709" t="s">
        <v>4676</v>
      </c>
      <c r="J1424" s="1709" t="s">
        <v>4697</v>
      </c>
    </row>
    <row r="1425" spans="8:12">
      <c r="H1425" s="1596" t="s">
        <v>4698</v>
      </c>
      <c r="I1425" s="1709" t="s">
        <v>4676</v>
      </c>
      <c r="J1425" s="1709" t="s">
        <v>4699</v>
      </c>
    </row>
    <row r="1426" spans="8:12">
      <c r="H1426" s="1596" t="s">
        <v>4700</v>
      </c>
      <c r="I1426" s="1709" t="s">
        <v>4676</v>
      </c>
      <c r="J1426" s="1709" t="s">
        <v>4701</v>
      </c>
    </row>
    <row r="1427" spans="8:12">
      <c r="H1427" s="1596" t="s">
        <v>4702</v>
      </c>
      <c r="I1427" s="1709" t="s">
        <v>4676</v>
      </c>
      <c r="J1427" s="1709" t="s">
        <v>4703</v>
      </c>
    </row>
    <row r="1428" spans="8:12">
      <c r="H1428" s="1596" t="s">
        <v>4704</v>
      </c>
      <c r="I1428" s="1709" t="s">
        <v>4676</v>
      </c>
      <c r="J1428" s="1709" t="s">
        <v>2799</v>
      </c>
    </row>
    <row r="1429" spans="8:12">
      <c r="H1429" s="1596" t="s">
        <v>4705</v>
      </c>
      <c r="I1429" s="1709" t="s">
        <v>4676</v>
      </c>
      <c r="J1429" s="1709" t="s">
        <v>4706</v>
      </c>
    </row>
    <row r="1430" spans="8:12">
      <c r="H1430" s="1596" t="s">
        <v>4707</v>
      </c>
      <c r="I1430" s="1709" t="s">
        <v>4676</v>
      </c>
      <c r="J1430" s="1709" t="s">
        <v>4708</v>
      </c>
    </row>
    <row r="1431" spans="8:12">
      <c r="H1431" s="1596" t="s">
        <v>4709</v>
      </c>
      <c r="I1431" s="1709" t="s">
        <v>4676</v>
      </c>
      <c r="J1431" s="1709" t="s">
        <v>4351</v>
      </c>
    </row>
    <row r="1432" spans="8:12">
      <c r="H1432" s="1596" t="s">
        <v>4710</v>
      </c>
      <c r="I1432" s="1709" t="s">
        <v>4676</v>
      </c>
      <c r="J1432" s="1709" t="s">
        <v>4711</v>
      </c>
    </row>
    <row r="1433" spans="8:12">
      <c r="H1433" s="1596" t="s">
        <v>5618</v>
      </c>
      <c r="I1433" s="1709" t="s">
        <v>4712</v>
      </c>
      <c r="K1433" s="1709">
        <f>ROW()</f>
        <v>1433</v>
      </c>
      <c r="L1433" s="1709">
        <f>K1433+COUNTIF($I$118:$I$1905,I1433)-1</f>
        <v>1452</v>
      </c>
    </row>
    <row r="1434" spans="8:12">
      <c r="H1434" s="1596" t="s">
        <v>2090</v>
      </c>
      <c r="I1434" s="1709" t="s">
        <v>4712</v>
      </c>
      <c r="J1434" s="1709" t="s">
        <v>4713</v>
      </c>
    </row>
    <row r="1435" spans="8:12">
      <c r="H1435" s="1596" t="s">
        <v>4714</v>
      </c>
      <c r="I1435" s="1709" t="s">
        <v>4712</v>
      </c>
      <c r="J1435" s="1709" t="s">
        <v>4715</v>
      </c>
    </row>
    <row r="1436" spans="8:12">
      <c r="H1436" s="1596" t="s">
        <v>4716</v>
      </c>
      <c r="I1436" s="1709" t="s">
        <v>4712</v>
      </c>
      <c r="J1436" s="1709" t="s">
        <v>4717</v>
      </c>
    </row>
    <row r="1437" spans="8:12">
      <c r="H1437" s="1596" t="s">
        <v>4718</v>
      </c>
      <c r="I1437" s="1709" t="s">
        <v>4712</v>
      </c>
      <c r="J1437" s="1709" t="s">
        <v>4719</v>
      </c>
    </row>
    <row r="1438" spans="8:12">
      <c r="H1438" s="1596" t="s">
        <v>4720</v>
      </c>
      <c r="I1438" s="1709" t="s">
        <v>4712</v>
      </c>
      <c r="J1438" s="1709" t="s">
        <v>4721</v>
      </c>
    </row>
    <row r="1439" spans="8:12">
      <c r="H1439" s="1596" t="s">
        <v>4722</v>
      </c>
      <c r="I1439" s="1709" t="s">
        <v>4712</v>
      </c>
      <c r="J1439" s="1709" t="s">
        <v>4723</v>
      </c>
    </row>
    <row r="1440" spans="8:12">
      <c r="H1440" s="1596" t="s">
        <v>4724</v>
      </c>
      <c r="I1440" s="1709" t="s">
        <v>4712</v>
      </c>
      <c r="J1440" s="1709" t="s">
        <v>4725</v>
      </c>
    </row>
    <row r="1441" spans="8:12">
      <c r="H1441" s="1596" t="s">
        <v>4726</v>
      </c>
      <c r="I1441" s="1709" t="s">
        <v>4712</v>
      </c>
      <c r="J1441" s="1709" t="s">
        <v>4727</v>
      </c>
    </row>
    <row r="1442" spans="8:12">
      <c r="H1442" s="1596" t="s">
        <v>4728</v>
      </c>
      <c r="I1442" s="1709" t="s">
        <v>4712</v>
      </c>
      <c r="J1442" s="1709" t="s">
        <v>4729</v>
      </c>
    </row>
    <row r="1443" spans="8:12">
      <c r="H1443" s="1596" t="s">
        <v>4730</v>
      </c>
      <c r="I1443" s="1709" t="s">
        <v>4712</v>
      </c>
      <c r="J1443" s="1709" t="s">
        <v>4731</v>
      </c>
    </row>
    <row r="1444" spans="8:12">
      <c r="H1444" s="1596" t="s">
        <v>4732</v>
      </c>
      <c r="I1444" s="1709" t="s">
        <v>4712</v>
      </c>
      <c r="J1444" s="1709" t="s">
        <v>4733</v>
      </c>
    </row>
    <row r="1445" spans="8:12">
      <c r="H1445" s="1596" t="s">
        <v>4734</v>
      </c>
      <c r="I1445" s="1709" t="s">
        <v>4712</v>
      </c>
      <c r="J1445" s="1709" t="s">
        <v>2978</v>
      </c>
    </row>
    <row r="1446" spans="8:12">
      <c r="H1446" s="1596" t="s">
        <v>4735</v>
      </c>
      <c r="I1446" s="1709" t="s">
        <v>4712</v>
      </c>
      <c r="J1446" s="1709" t="s">
        <v>4736</v>
      </c>
    </row>
    <row r="1447" spans="8:12">
      <c r="H1447" s="1596" t="s">
        <v>4737</v>
      </c>
      <c r="I1447" s="1709" t="s">
        <v>4712</v>
      </c>
      <c r="J1447" s="1709" t="s">
        <v>4738</v>
      </c>
    </row>
    <row r="1448" spans="8:12">
      <c r="H1448" s="1596" t="s">
        <v>4739</v>
      </c>
      <c r="I1448" s="1709" t="s">
        <v>4712</v>
      </c>
      <c r="J1448" s="1709" t="s">
        <v>4740</v>
      </c>
    </row>
    <row r="1449" spans="8:12">
      <c r="H1449" s="1596" t="s">
        <v>4741</v>
      </c>
      <c r="I1449" s="1709" t="s">
        <v>4712</v>
      </c>
      <c r="J1449" s="1709" t="s">
        <v>4742</v>
      </c>
    </row>
    <row r="1450" spans="8:12">
      <c r="H1450" s="1596" t="s">
        <v>4743</v>
      </c>
      <c r="I1450" s="1709" t="s">
        <v>4712</v>
      </c>
      <c r="J1450" s="1709" t="s">
        <v>4744</v>
      </c>
    </row>
    <row r="1451" spans="8:12">
      <c r="H1451" s="1596" t="s">
        <v>4745</v>
      </c>
      <c r="I1451" s="1709" t="s">
        <v>4712</v>
      </c>
      <c r="J1451" s="1709" t="s">
        <v>4746</v>
      </c>
    </row>
    <row r="1452" spans="8:12">
      <c r="H1452" s="1596" t="s">
        <v>4747</v>
      </c>
      <c r="I1452" s="1709" t="s">
        <v>4712</v>
      </c>
      <c r="J1452" s="1709" t="s">
        <v>4748</v>
      </c>
    </row>
    <row r="1453" spans="8:12">
      <c r="H1453" s="1596" t="s">
        <v>5619</v>
      </c>
      <c r="I1453" s="1709" t="s">
        <v>610</v>
      </c>
      <c r="K1453" s="1709">
        <f>ROW()</f>
        <v>1453</v>
      </c>
      <c r="L1453" s="1709">
        <f>K1453+COUNTIF($I$118:$I$1905,I1453)-1</f>
        <v>1480</v>
      </c>
    </row>
    <row r="1454" spans="8:12">
      <c r="H1454" s="1596" t="s">
        <v>1342</v>
      </c>
      <c r="I1454" s="1709" t="s">
        <v>610</v>
      </c>
      <c r="J1454" s="1709" t="s">
        <v>1463</v>
      </c>
    </row>
    <row r="1455" spans="8:12">
      <c r="H1455" s="1596" t="s">
        <v>1373</v>
      </c>
      <c r="I1455" s="1709" t="s">
        <v>610</v>
      </c>
      <c r="J1455" s="1709" t="s">
        <v>1494</v>
      </c>
    </row>
    <row r="1456" spans="8:12">
      <c r="H1456" s="1596" t="s">
        <v>4749</v>
      </c>
      <c r="I1456" s="1709" t="s">
        <v>610</v>
      </c>
      <c r="J1456" s="1709" t="s">
        <v>4750</v>
      </c>
    </row>
    <row r="1457" spans="8:10">
      <c r="H1457" s="1596" t="s">
        <v>4751</v>
      </c>
      <c r="I1457" s="1709" t="s">
        <v>610</v>
      </c>
      <c r="J1457" s="1709" t="s">
        <v>4752</v>
      </c>
    </row>
    <row r="1458" spans="8:10">
      <c r="H1458" s="1596" t="s">
        <v>4753</v>
      </c>
      <c r="I1458" s="1709" t="s">
        <v>610</v>
      </c>
      <c r="J1458" s="1709" t="s">
        <v>4754</v>
      </c>
    </row>
    <row r="1459" spans="8:10">
      <c r="H1459" s="1596" t="s">
        <v>4755</v>
      </c>
      <c r="I1459" s="1709" t="s">
        <v>610</v>
      </c>
      <c r="J1459" s="1709" t="s">
        <v>4756</v>
      </c>
    </row>
    <row r="1460" spans="8:10">
      <c r="H1460" s="1596" t="s">
        <v>4757</v>
      </c>
      <c r="I1460" s="1709" t="s">
        <v>610</v>
      </c>
      <c r="J1460" s="1709" t="s">
        <v>4758</v>
      </c>
    </row>
    <row r="1461" spans="8:10">
      <c r="H1461" s="1596" t="s">
        <v>4759</v>
      </c>
      <c r="I1461" s="1709" t="s">
        <v>610</v>
      </c>
      <c r="J1461" s="1709" t="s">
        <v>4760</v>
      </c>
    </row>
    <row r="1462" spans="8:10">
      <c r="H1462" s="1596" t="s">
        <v>4761</v>
      </c>
      <c r="I1462" s="1709" t="s">
        <v>610</v>
      </c>
      <c r="J1462" s="1709" t="s">
        <v>4762</v>
      </c>
    </row>
    <row r="1463" spans="8:10">
      <c r="H1463" s="1596" t="s">
        <v>4763</v>
      </c>
      <c r="I1463" s="1709" t="s">
        <v>610</v>
      </c>
      <c r="J1463" s="1709" t="s">
        <v>4764</v>
      </c>
    </row>
    <row r="1464" spans="8:10">
      <c r="H1464" s="1596" t="s">
        <v>4765</v>
      </c>
      <c r="I1464" s="1709" t="s">
        <v>610</v>
      </c>
      <c r="J1464" s="1709" t="s">
        <v>4766</v>
      </c>
    </row>
    <row r="1465" spans="8:10">
      <c r="H1465" s="1596" t="s">
        <v>4767</v>
      </c>
      <c r="I1465" s="1709" t="s">
        <v>610</v>
      </c>
      <c r="J1465" s="1709" t="s">
        <v>4768</v>
      </c>
    </row>
    <row r="1466" spans="8:10">
      <c r="H1466" s="1596" t="s">
        <v>4769</v>
      </c>
      <c r="I1466" s="1709" t="s">
        <v>610</v>
      </c>
      <c r="J1466" s="1709" t="s">
        <v>4770</v>
      </c>
    </row>
    <row r="1467" spans="8:10">
      <c r="H1467" s="1596" t="s">
        <v>4771</v>
      </c>
      <c r="I1467" s="1709" t="s">
        <v>610</v>
      </c>
      <c r="J1467" s="1709" t="s">
        <v>4772</v>
      </c>
    </row>
    <row r="1468" spans="8:10">
      <c r="H1468" s="1596" t="s">
        <v>4773</v>
      </c>
      <c r="I1468" s="1709" t="s">
        <v>610</v>
      </c>
      <c r="J1468" s="1709" t="s">
        <v>4774</v>
      </c>
    </row>
    <row r="1469" spans="8:10">
      <c r="H1469" s="1596" t="s">
        <v>4775</v>
      </c>
      <c r="I1469" s="1709" t="s">
        <v>610</v>
      </c>
      <c r="J1469" s="1709" t="s">
        <v>4776</v>
      </c>
    </row>
    <row r="1470" spans="8:10">
      <c r="H1470" s="1596" t="s">
        <v>4777</v>
      </c>
      <c r="I1470" s="1709" t="s">
        <v>610</v>
      </c>
      <c r="J1470" s="1709" t="s">
        <v>4778</v>
      </c>
    </row>
    <row r="1471" spans="8:10">
      <c r="H1471" s="1596" t="s">
        <v>4779</v>
      </c>
      <c r="I1471" s="1709" t="s">
        <v>610</v>
      </c>
      <c r="J1471" s="1709" t="s">
        <v>4780</v>
      </c>
    </row>
    <row r="1472" spans="8:10">
      <c r="H1472" s="1596" t="s">
        <v>4781</v>
      </c>
      <c r="I1472" s="1709" t="s">
        <v>610</v>
      </c>
      <c r="J1472" s="1709" t="s">
        <v>4782</v>
      </c>
    </row>
    <row r="1473" spans="8:12">
      <c r="H1473" s="1596" t="s">
        <v>4783</v>
      </c>
      <c r="I1473" s="1709" t="s">
        <v>610</v>
      </c>
      <c r="J1473" s="1709" t="s">
        <v>4784</v>
      </c>
    </row>
    <row r="1474" spans="8:12">
      <c r="H1474" s="1596" t="s">
        <v>4785</v>
      </c>
      <c r="I1474" s="1709" t="s">
        <v>610</v>
      </c>
      <c r="J1474" s="1709" t="s">
        <v>4786</v>
      </c>
    </row>
    <row r="1475" spans="8:12">
      <c r="H1475" s="1596" t="s">
        <v>4787</v>
      </c>
      <c r="I1475" s="1709" t="s">
        <v>610</v>
      </c>
      <c r="J1475" s="1709" t="s">
        <v>4788</v>
      </c>
    </row>
    <row r="1476" spans="8:12">
      <c r="H1476" s="1596" t="s">
        <v>4789</v>
      </c>
      <c r="I1476" s="1709" t="s">
        <v>610</v>
      </c>
      <c r="J1476" s="1709" t="s">
        <v>4790</v>
      </c>
    </row>
    <row r="1477" spans="8:12">
      <c r="H1477" s="1596" t="s">
        <v>4791</v>
      </c>
      <c r="I1477" s="1709" t="s">
        <v>610</v>
      </c>
      <c r="J1477" s="1709" t="s">
        <v>4792</v>
      </c>
    </row>
    <row r="1478" spans="8:12">
      <c r="H1478" s="1596" t="s">
        <v>4793</v>
      </c>
      <c r="I1478" s="1709" t="s">
        <v>610</v>
      </c>
      <c r="J1478" s="1709" t="s">
        <v>4794</v>
      </c>
    </row>
    <row r="1479" spans="8:12">
      <c r="H1479" s="1596" t="s">
        <v>4795</v>
      </c>
      <c r="I1479" s="1709" t="s">
        <v>610</v>
      </c>
      <c r="J1479" s="1709" t="s">
        <v>4796</v>
      </c>
    </row>
    <row r="1480" spans="8:12">
      <c r="H1480" s="1596" t="s">
        <v>4797</v>
      </c>
      <c r="I1480" s="1709" t="s">
        <v>610</v>
      </c>
      <c r="J1480" s="1709" t="s">
        <v>4798</v>
      </c>
    </row>
    <row r="1481" spans="8:12">
      <c r="H1481" s="1596" t="s">
        <v>5620</v>
      </c>
      <c r="I1481" s="1709" t="s">
        <v>611</v>
      </c>
      <c r="K1481" s="1709">
        <f>ROW()</f>
        <v>1481</v>
      </c>
      <c r="L1481" s="1709">
        <f>K1481+COUNTIF($I$118:$I$1905,I1481)-1</f>
        <v>1504</v>
      </c>
    </row>
    <row r="1482" spans="8:12">
      <c r="H1482" s="1596" t="s">
        <v>1334</v>
      </c>
      <c r="I1482" s="1709" t="s">
        <v>611</v>
      </c>
      <c r="J1482" s="1709" t="s">
        <v>1455</v>
      </c>
    </row>
    <row r="1483" spans="8:12">
      <c r="H1483" s="1596" t="s">
        <v>1420</v>
      </c>
      <c r="I1483" s="1709" t="s">
        <v>611</v>
      </c>
      <c r="J1483" s="1709" t="s">
        <v>1540</v>
      </c>
    </row>
    <row r="1484" spans="8:12">
      <c r="H1484" s="1596" t="s">
        <v>4799</v>
      </c>
      <c r="I1484" s="1709" t="s">
        <v>611</v>
      </c>
      <c r="J1484" s="1709" t="s">
        <v>4800</v>
      </c>
    </row>
    <row r="1485" spans="8:12">
      <c r="H1485" s="1596" t="s">
        <v>4801</v>
      </c>
      <c r="I1485" s="1709" t="s">
        <v>611</v>
      </c>
      <c r="J1485" s="1709" t="s">
        <v>4802</v>
      </c>
    </row>
    <row r="1486" spans="8:12">
      <c r="H1486" s="1596" t="s">
        <v>4803</v>
      </c>
      <c r="I1486" s="1709" t="s">
        <v>611</v>
      </c>
      <c r="J1486" s="1709" t="s">
        <v>4804</v>
      </c>
    </row>
    <row r="1487" spans="8:12">
      <c r="H1487" s="1596" t="s">
        <v>1374</v>
      </c>
      <c r="I1487" s="1709" t="s">
        <v>611</v>
      </c>
      <c r="J1487" s="1709" t="s">
        <v>1495</v>
      </c>
    </row>
    <row r="1488" spans="8:12">
      <c r="H1488" s="1596" t="s">
        <v>4805</v>
      </c>
      <c r="I1488" s="1709" t="s">
        <v>611</v>
      </c>
      <c r="J1488" s="1709" t="s">
        <v>3575</v>
      </c>
    </row>
    <row r="1489" spans="8:10">
      <c r="H1489" s="1596" t="s">
        <v>4806</v>
      </c>
      <c r="I1489" s="1709" t="s">
        <v>611</v>
      </c>
      <c r="J1489" s="1709" t="s">
        <v>4807</v>
      </c>
    </row>
    <row r="1490" spans="8:10">
      <c r="H1490" s="1596" t="s">
        <v>4808</v>
      </c>
      <c r="I1490" s="1709" t="s">
        <v>611</v>
      </c>
      <c r="J1490" s="1709" t="s">
        <v>4809</v>
      </c>
    </row>
    <row r="1491" spans="8:10">
      <c r="H1491" s="1596" t="s">
        <v>4810</v>
      </c>
      <c r="I1491" s="1709" t="s">
        <v>611</v>
      </c>
      <c r="J1491" s="1709" t="s">
        <v>4811</v>
      </c>
    </row>
    <row r="1492" spans="8:10">
      <c r="H1492" s="1596" t="s">
        <v>4812</v>
      </c>
      <c r="I1492" s="1709" t="s">
        <v>611</v>
      </c>
      <c r="J1492" s="1709" t="s">
        <v>4813</v>
      </c>
    </row>
    <row r="1493" spans="8:10">
      <c r="H1493" s="1596" t="s">
        <v>4814</v>
      </c>
      <c r="I1493" s="1709" t="s">
        <v>611</v>
      </c>
      <c r="J1493" s="1709" t="s">
        <v>4815</v>
      </c>
    </row>
    <row r="1494" spans="8:10">
      <c r="H1494" s="1596" t="s">
        <v>4816</v>
      </c>
      <c r="I1494" s="1709" t="s">
        <v>611</v>
      </c>
      <c r="J1494" s="1709" t="s">
        <v>4817</v>
      </c>
    </row>
    <row r="1495" spans="8:10">
      <c r="H1495" s="1596" t="s">
        <v>4818</v>
      </c>
      <c r="I1495" s="1709" t="s">
        <v>611</v>
      </c>
      <c r="J1495" s="1709" t="s">
        <v>4819</v>
      </c>
    </row>
    <row r="1496" spans="8:10">
      <c r="H1496" s="1596" t="s">
        <v>4820</v>
      </c>
      <c r="I1496" s="1709" t="s">
        <v>611</v>
      </c>
      <c r="J1496" s="1709" t="s">
        <v>4821</v>
      </c>
    </row>
    <row r="1497" spans="8:10">
      <c r="H1497" s="1596" t="s">
        <v>4822</v>
      </c>
      <c r="I1497" s="1709" t="s">
        <v>611</v>
      </c>
      <c r="J1497" s="1709" t="s">
        <v>4823</v>
      </c>
    </row>
    <row r="1498" spans="8:10">
      <c r="H1498" s="1596" t="s">
        <v>4824</v>
      </c>
      <c r="I1498" s="1709" t="s">
        <v>611</v>
      </c>
      <c r="J1498" s="1709" t="s">
        <v>4825</v>
      </c>
    </row>
    <row r="1499" spans="8:10">
      <c r="H1499" s="1596" t="s">
        <v>4826</v>
      </c>
      <c r="I1499" s="1709" t="s">
        <v>611</v>
      </c>
      <c r="J1499" s="1709" t="s">
        <v>4827</v>
      </c>
    </row>
    <row r="1500" spans="8:10">
      <c r="H1500" s="1596" t="s">
        <v>4828</v>
      </c>
      <c r="I1500" s="1709" t="s">
        <v>611</v>
      </c>
      <c r="J1500" s="1709" t="s">
        <v>4829</v>
      </c>
    </row>
    <row r="1501" spans="8:10">
      <c r="H1501" s="1596" t="s">
        <v>4830</v>
      </c>
      <c r="I1501" s="1709" t="s">
        <v>611</v>
      </c>
      <c r="J1501" s="1709" t="s">
        <v>4831</v>
      </c>
    </row>
    <row r="1502" spans="8:10">
      <c r="H1502" s="1596" t="s">
        <v>4832</v>
      </c>
      <c r="I1502" s="1709" t="s">
        <v>611</v>
      </c>
      <c r="J1502" s="1709" t="s">
        <v>4833</v>
      </c>
    </row>
    <row r="1503" spans="8:10">
      <c r="H1503" s="1596" t="s">
        <v>4834</v>
      </c>
      <c r="I1503" s="1709" t="s">
        <v>611</v>
      </c>
      <c r="J1503" s="1709" t="s">
        <v>4835</v>
      </c>
    </row>
    <row r="1504" spans="8:10">
      <c r="H1504" s="1596" t="s">
        <v>4836</v>
      </c>
      <c r="I1504" s="1709" t="s">
        <v>611</v>
      </c>
      <c r="J1504" s="1709" t="s">
        <v>4837</v>
      </c>
    </row>
    <row r="1505" spans="8:12">
      <c r="H1505" s="1596" t="s">
        <v>5621</v>
      </c>
      <c r="I1505" s="1709" t="s">
        <v>612</v>
      </c>
      <c r="K1505" s="1709">
        <f>ROW()</f>
        <v>1505</v>
      </c>
      <c r="L1505" s="1709">
        <f>K1505+COUNTIF($I$118:$I$1905,I1505)-1</f>
        <v>1524</v>
      </c>
    </row>
    <row r="1506" spans="8:12">
      <c r="H1506" s="1596" t="s">
        <v>1375</v>
      </c>
      <c r="I1506" s="1709" t="s">
        <v>612</v>
      </c>
      <c r="J1506" s="1709" t="s">
        <v>1496</v>
      </c>
    </row>
    <row r="1507" spans="8:12">
      <c r="H1507" s="1596" t="s">
        <v>4838</v>
      </c>
      <c r="I1507" s="1709" t="s">
        <v>612</v>
      </c>
      <c r="J1507" s="1709" t="s">
        <v>4839</v>
      </c>
    </row>
    <row r="1508" spans="8:12">
      <c r="H1508" s="1596" t="s">
        <v>4840</v>
      </c>
      <c r="I1508" s="1709" t="s">
        <v>612</v>
      </c>
      <c r="J1508" s="1709" t="s">
        <v>4841</v>
      </c>
    </row>
    <row r="1509" spans="8:12">
      <c r="H1509" s="1596" t="s">
        <v>4842</v>
      </c>
      <c r="I1509" s="1709" t="s">
        <v>612</v>
      </c>
      <c r="J1509" s="1709" t="s">
        <v>4843</v>
      </c>
    </row>
    <row r="1510" spans="8:12">
      <c r="H1510" s="1596" t="s">
        <v>4844</v>
      </c>
      <c r="I1510" s="1709" t="s">
        <v>612</v>
      </c>
      <c r="J1510" s="1709" t="s">
        <v>4845</v>
      </c>
    </row>
    <row r="1511" spans="8:12">
      <c r="H1511" s="1596" t="s">
        <v>4846</v>
      </c>
      <c r="I1511" s="1709" t="s">
        <v>612</v>
      </c>
      <c r="J1511" s="1709" t="s">
        <v>4847</v>
      </c>
    </row>
    <row r="1512" spans="8:12">
      <c r="H1512" s="1596" t="s">
        <v>4848</v>
      </c>
      <c r="I1512" s="1709" t="s">
        <v>612</v>
      </c>
      <c r="J1512" s="1709" t="s">
        <v>4849</v>
      </c>
    </row>
    <row r="1513" spans="8:12">
      <c r="H1513" s="1596" t="s">
        <v>4850</v>
      </c>
      <c r="I1513" s="1709" t="s">
        <v>612</v>
      </c>
      <c r="J1513" s="1709" t="s">
        <v>4851</v>
      </c>
    </row>
    <row r="1514" spans="8:12">
      <c r="H1514" s="1596" t="s">
        <v>4852</v>
      </c>
      <c r="I1514" s="1709" t="s">
        <v>612</v>
      </c>
      <c r="J1514" s="1709" t="s">
        <v>4853</v>
      </c>
    </row>
    <row r="1515" spans="8:12">
      <c r="H1515" s="1596" t="s">
        <v>4854</v>
      </c>
      <c r="I1515" s="1709" t="s">
        <v>612</v>
      </c>
      <c r="J1515" s="1709" t="s">
        <v>4855</v>
      </c>
    </row>
    <row r="1516" spans="8:12">
      <c r="H1516" s="1596" t="s">
        <v>4856</v>
      </c>
      <c r="I1516" s="1709" t="s">
        <v>612</v>
      </c>
      <c r="J1516" s="1709" t="s">
        <v>4857</v>
      </c>
    </row>
    <row r="1517" spans="8:12">
      <c r="H1517" s="1596" t="s">
        <v>4858</v>
      </c>
      <c r="I1517" s="1709" t="s">
        <v>612</v>
      </c>
      <c r="J1517" s="1709" t="s">
        <v>4859</v>
      </c>
    </row>
    <row r="1518" spans="8:12">
      <c r="H1518" s="1596" t="s">
        <v>4860</v>
      </c>
      <c r="I1518" s="1709" t="s">
        <v>612</v>
      </c>
      <c r="J1518" s="1709" t="s">
        <v>4861</v>
      </c>
    </row>
    <row r="1519" spans="8:12">
      <c r="H1519" s="1596" t="s">
        <v>4862</v>
      </c>
      <c r="I1519" s="1709" t="s">
        <v>612</v>
      </c>
      <c r="J1519" s="1709" t="s">
        <v>4863</v>
      </c>
    </row>
    <row r="1520" spans="8:12">
      <c r="H1520" s="1596" t="s">
        <v>4864</v>
      </c>
      <c r="I1520" s="1709" t="s">
        <v>612</v>
      </c>
      <c r="J1520" s="1709" t="s">
        <v>4865</v>
      </c>
    </row>
    <row r="1521" spans="8:12">
      <c r="H1521" s="1596" t="s">
        <v>4866</v>
      </c>
      <c r="I1521" s="1709" t="s">
        <v>612</v>
      </c>
      <c r="J1521" s="1709" t="s">
        <v>4867</v>
      </c>
    </row>
    <row r="1522" spans="8:12">
      <c r="H1522" s="1596" t="s">
        <v>4868</v>
      </c>
      <c r="I1522" s="1709" t="s">
        <v>612</v>
      </c>
      <c r="J1522" s="1709" t="s">
        <v>4869</v>
      </c>
    </row>
    <row r="1523" spans="8:12">
      <c r="H1523" s="1596" t="s">
        <v>4870</v>
      </c>
      <c r="I1523" s="1709" t="s">
        <v>612</v>
      </c>
      <c r="J1523" s="1709" t="s">
        <v>4871</v>
      </c>
    </row>
    <row r="1524" spans="8:12">
      <c r="H1524" s="1596" t="s">
        <v>4872</v>
      </c>
      <c r="I1524" s="1709" t="s">
        <v>612</v>
      </c>
      <c r="J1524" s="1709" t="s">
        <v>4873</v>
      </c>
    </row>
    <row r="1525" spans="8:12">
      <c r="H1525" s="1596" t="s">
        <v>5622</v>
      </c>
      <c r="I1525" s="1709" t="s">
        <v>4875</v>
      </c>
      <c r="K1525" s="1709">
        <f>ROW()</f>
        <v>1525</v>
      </c>
      <c r="L1525" s="1709">
        <f>K1525+COUNTIF($I$118:$I$1905,I1525)-1</f>
        <v>1549</v>
      </c>
    </row>
    <row r="1526" spans="8:12">
      <c r="H1526" s="1596" t="s">
        <v>4874</v>
      </c>
      <c r="I1526" s="1709" t="s">
        <v>4875</v>
      </c>
      <c r="J1526" s="1709" t="s">
        <v>4876</v>
      </c>
    </row>
    <row r="1527" spans="8:12">
      <c r="H1527" s="1596" t="s">
        <v>4877</v>
      </c>
      <c r="I1527" s="1709" t="s">
        <v>4875</v>
      </c>
      <c r="J1527" s="1709" t="s">
        <v>4878</v>
      </c>
    </row>
    <row r="1528" spans="8:12">
      <c r="H1528" s="1596" t="s">
        <v>4879</v>
      </c>
      <c r="I1528" s="1709" t="s">
        <v>4875</v>
      </c>
      <c r="J1528" s="1709" t="s">
        <v>4880</v>
      </c>
    </row>
    <row r="1529" spans="8:12">
      <c r="H1529" s="1596" t="s">
        <v>4881</v>
      </c>
      <c r="I1529" s="1709" t="s">
        <v>4875</v>
      </c>
      <c r="J1529" s="1709" t="s">
        <v>4882</v>
      </c>
    </row>
    <row r="1530" spans="8:12">
      <c r="H1530" s="1596" t="s">
        <v>4883</v>
      </c>
      <c r="I1530" s="1709" t="s">
        <v>4875</v>
      </c>
      <c r="J1530" s="1709" t="s">
        <v>4884</v>
      </c>
    </row>
    <row r="1531" spans="8:12">
      <c r="H1531" s="1596" t="s">
        <v>4885</v>
      </c>
      <c r="I1531" s="1709" t="s">
        <v>4875</v>
      </c>
      <c r="J1531" s="1709" t="s">
        <v>4886</v>
      </c>
    </row>
    <row r="1532" spans="8:12">
      <c r="H1532" s="1596" t="s">
        <v>4887</v>
      </c>
      <c r="I1532" s="1709" t="s">
        <v>4875</v>
      </c>
      <c r="J1532" s="1709" t="s">
        <v>4888</v>
      </c>
    </row>
    <row r="1533" spans="8:12">
      <c r="H1533" s="1596" t="s">
        <v>4889</v>
      </c>
      <c r="I1533" s="1709" t="s">
        <v>4875</v>
      </c>
      <c r="J1533" s="1709" t="s">
        <v>4890</v>
      </c>
    </row>
    <row r="1534" spans="8:12">
      <c r="H1534" s="1596" t="s">
        <v>4891</v>
      </c>
      <c r="I1534" s="1709" t="s">
        <v>4875</v>
      </c>
      <c r="J1534" s="1709" t="s">
        <v>4892</v>
      </c>
    </row>
    <row r="1535" spans="8:12">
      <c r="H1535" s="1596" t="s">
        <v>4893</v>
      </c>
      <c r="I1535" s="1709" t="s">
        <v>4875</v>
      </c>
      <c r="J1535" s="1709" t="s">
        <v>4894</v>
      </c>
    </row>
    <row r="1536" spans="8:12">
      <c r="H1536" s="1596" t="s">
        <v>4895</v>
      </c>
      <c r="I1536" s="1709" t="s">
        <v>4875</v>
      </c>
      <c r="J1536" s="1709" t="s">
        <v>4896</v>
      </c>
    </row>
    <row r="1537" spans="8:12">
      <c r="H1537" s="1596" t="s">
        <v>4897</v>
      </c>
      <c r="I1537" s="1709" t="s">
        <v>4875</v>
      </c>
      <c r="J1537" s="1709" t="s">
        <v>4898</v>
      </c>
    </row>
    <row r="1538" spans="8:12">
      <c r="H1538" s="1596" t="s">
        <v>4899</v>
      </c>
      <c r="I1538" s="1709" t="s">
        <v>4875</v>
      </c>
      <c r="J1538" s="1709" t="s">
        <v>4900</v>
      </c>
    </row>
    <row r="1539" spans="8:12">
      <c r="H1539" s="1596" t="s">
        <v>4901</v>
      </c>
      <c r="I1539" s="1709" t="s">
        <v>4875</v>
      </c>
      <c r="J1539" s="1709" t="s">
        <v>4902</v>
      </c>
    </row>
    <row r="1540" spans="8:12">
      <c r="H1540" s="1596" t="s">
        <v>4903</v>
      </c>
      <c r="I1540" s="1709" t="s">
        <v>4875</v>
      </c>
      <c r="J1540" s="1709" t="s">
        <v>4904</v>
      </c>
    </row>
    <row r="1541" spans="8:12">
      <c r="H1541" s="1596" t="s">
        <v>4905</v>
      </c>
      <c r="I1541" s="1709" t="s">
        <v>4875</v>
      </c>
      <c r="J1541" s="1709" t="s">
        <v>4906</v>
      </c>
    </row>
    <row r="1542" spans="8:12">
      <c r="H1542" s="1596" t="s">
        <v>4907</v>
      </c>
      <c r="I1542" s="1709" t="s">
        <v>4875</v>
      </c>
      <c r="J1542" s="1709" t="s">
        <v>4908</v>
      </c>
    </row>
    <row r="1543" spans="8:12">
      <c r="H1543" s="1596" t="s">
        <v>4909</v>
      </c>
      <c r="I1543" s="1709" t="s">
        <v>4875</v>
      </c>
      <c r="J1543" s="1709" t="s">
        <v>4910</v>
      </c>
    </row>
    <row r="1544" spans="8:12">
      <c r="H1544" s="1596" t="s">
        <v>4911</v>
      </c>
      <c r="I1544" s="1709" t="s">
        <v>4875</v>
      </c>
      <c r="J1544" s="1709" t="s">
        <v>4912</v>
      </c>
    </row>
    <row r="1545" spans="8:12">
      <c r="H1545" s="1596" t="s">
        <v>4913</v>
      </c>
      <c r="I1545" s="1709" t="s">
        <v>4875</v>
      </c>
      <c r="J1545" s="1709" t="s">
        <v>4914</v>
      </c>
    </row>
    <row r="1546" spans="8:12">
      <c r="H1546" s="1596" t="s">
        <v>4915</v>
      </c>
      <c r="I1546" s="1709" t="s">
        <v>4875</v>
      </c>
      <c r="J1546" s="1709" t="s">
        <v>4916</v>
      </c>
    </row>
    <row r="1547" spans="8:12">
      <c r="H1547" s="1596" t="s">
        <v>4917</v>
      </c>
      <c r="I1547" s="1709" t="s">
        <v>4875</v>
      </c>
      <c r="J1547" s="1709" t="s">
        <v>4918</v>
      </c>
    </row>
    <row r="1548" spans="8:12">
      <c r="H1548" s="1596" t="s">
        <v>4919</v>
      </c>
      <c r="I1548" s="1709" t="s">
        <v>4875</v>
      </c>
      <c r="J1548" s="1709" t="s">
        <v>4920</v>
      </c>
    </row>
    <row r="1549" spans="8:12">
      <c r="H1549" s="1596" t="s">
        <v>4921</v>
      </c>
      <c r="I1549" s="1709" t="s">
        <v>4875</v>
      </c>
      <c r="J1549" s="1709" t="s">
        <v>4922</v>
      </c>
    </row>
    <row r="1550" spans="8:12">
      <c r="H1550" s="1596" t="s">
        <v>5623</v>
      </c>
      <c r="I1550" s="1709" t="s">
        <v>613</v>
      </c>
      <c r="K1550" s="1709">
        <f>ROW()</f>
        <v>1550</v>
      </c>
      <c r="L1550" s="1709">
        <f>K1550+COUNTIF($I$118:$I$1905,I1550)-1</f>
        <v>1567</v>
      </c>
    </row>
    <row r="1551" spans="8:12">
      <c r="H1551" s="1596" t="s">
        <v>1376</v>
      </c>
      <c r="I1551" s="1709" t="s">
        <v>613</v>
      </c>
      <c r="J1551" s="1709" t="s">
        <v>1497</v>
      </c>
    </row>
    <row r="1552" spans="8:12">
      <c r="H1552" s="1596" t="s">
        <v>4923</v>
      </c>
      <c r="I1552" s="1709" t="s">
        <v>613</v>
      </c>
      <c r="J1552" s="1709" t="s">
        <v>4924</v>
      </c>
    </row>
    <row r="1553" spans="8:12">
      <c r="H1553" s="1596" t="s">
        <v>4925</v>
      </c>
      <c r="I1553" s="1709" t="s">
        <v>613</v>
      </c>
      <c r="J1553" s="1709" t="s">
        <v>4926</v>
      </c>
    </row>
    <row r="1554" spans="8:12">
      <c r="H1554" s="1596" t="s">
        <v>4927</v>
      </c>
      <c r="I1554" s="1709" t="s">
        <v>613</v>
      </c>
      <c r="J1554" s="1709" t="s">
        <v>4928</v>
      </c>
    </row>
    <row r="1555" spans="8:12">
      <c r="H1555" s="1596" t="s">
        <v>4929</v>
      </c>
      <c r="I1555" s="1709" t="s">
        <v>613</v>
      </c>
      <c r="J1555" s="1709" t="s">
        <v>4930</v>
      </c>
    </row>
    <row r="1556" spans="8:12">
      <c r="H1556" s="1596" t="s">
        <v>4931</v>
      </c>
      <c r="I1556" s="1709" t="s">
        <v>613</v>
      </c>
      <c r="J1556" s="1709" t="s">
        <v>4932</v>
      </c>
    </row>
    <row r="1557" spans="8:12">
      <c r="H1557" s="1596" t="s">
        <v>4933</v>
      </c>
      <c r="I1557" s="1709" t="s">
        <v>613</v>
      </c>
      <c r="J1557" s="1709" t="s">
        <v>4934</v>
      </c>
    </row>
    <row r="1558" spans="8:12">
      <c r="H1558" s="1596" t="s">
        <v>4935</v>
      </c>
      <c r="I1558" s="1709" t="s">
        <v>613</v>
      </c>
      <c r="J1558" s="1709" t="s">
        <v>4936</v>
      </c>
    </row>
    <row r="1559" spans="8:12">
      <c r="H1559" s="1596" t="s">
        <v>4937</v>
      </c>
      <c r="I1559" s="1709" t="s">
        <v>613</v>
      </c>
      <c r="J1559" s="1709" t="s">
        <v>4938</v>
      </c>
    </row>
    <row r="1560" spans="8:12">
      <c r="H1560" s="1596" t="s">
        <v>4939</v>
      </c>
      <c r="I1560" s="1709" t="s">
        <v>613</v>
      </c>
      <c r="J1560" s="1709" t="s">
        <v>4940</v>
      </c>
    </row>
    <row r="1561" spans="8:12">
      <c r="H1561" s="1596" t="s">
        <v>4941</v>
      </c>
      <c r="I1561" s="1709" t="s">
        <v>613</v>
      </c>
      <c r="J1561" s="1709" t="s">
        <v>4942</v>
      </c>
    </row>
    <row r="1562" spans="8:12">
      <c r="H1562" s="1596" t="s">
        <v>4943</v>
      </c>
      <c r="I1562" s="1709" t="s">
        <v>613</v>
      </c>
      <c r="J1562" s="1709" t="s">
        <v>4944</v>
      </c>
    </row>
    <row r="1563" spans="8:12">
      <c r="H1563" s="1596" t="s">
        <v>4945</v>
      </c>
      <c r="I1563" s="1709" t="s">
        <v>613</v>
      </c>
      <c r="J1563" s="1709" t="s">
        <v>4946</v>
      </c>
    </row>
    <row r="1564" spans="8:12">
      <c r="H1564" s="1596" t="s">
        <v>4947</v>
      </c>
      <c r="I1564" s="1709" t="s">
        <v>613</v>
      </c>
      <c r="J1564" s="1709" t="s">
        <v>4948</v>
      </c>
    </row>
    <row r="1565" spans="8:12">
      <c r="H1565" s="1596" t="s">
        <v>4949</v>
      </c>
      <c r="I1565" s="1709" t="s">
        <v>613</v>
      </c>
      <c r="J1565" s="1709" t="s">
        <v>4950</v>
      </c>
    </row>
    <row r="1566" spans="8:12">
      <c r="H1566" s="1596" t="s">
        <v>4951</v>
      </c>
      <c r="I1566" s="1709" t="s">
        <v>613</v>
      </c>
      <c r="J1566" s="1709" t="s">
        <v>4952</v>
      </c>
    </row>
    <row r="1567" spans="8:12">
      <c r="H1567" s="1596" t="s">
        <v>4953</v>
      </c>
      <c r="I1567" s="1709" t="s">
        <v>613</v>
      </c>
      <c r="J1567" s="1709" t="s">
        <v>4954</v>
      </c>
    </row>
    <row r="1568" spans="8:12">
      <c r="H1568" s="1596" t="s">
        <v>5624</v>
      </c>
      <c r="I1568" s="1709" t="s">
        <v>614</v>
      </c>
      <c r="K1568" s="1709">
        <f>ROW()</f>
        <v>1568</v>
      </c>
      <c r="L1568" s="1709">
        <f>K1568+COUNTIF($I$118:$I$1905,I1568)-1</f>
        <v>1588</v>
      </c>
    </row>
    <row r="1569" spans="8:10">
      <c r="H1569" s="1596" t="s">
        <v>1377</v>
      </c>
      <c r="I1569" s="1709" t="s">
        <v>614</v>
      </c>
      <c r="J1569" s="1709" t="s">
        <v>1498</v>
      </c>
    </row>
    <row r="1570" spans="8:10">
      <c r="H1570" s="1596" t="s">
        <v>4955</v>
      </c>
      <c r="I1570" s="1709" t="s">
        <v>614</v>
      </c>
      <c r="J1570" s="1709" t="s">
        <v>4956</v>
      </c>
    </row>
    <row r="1571" spans="8:10">
      <c r="H1571" s="1596" t="s">
        <v>4957</v>
      </c>
      <c r="I1571" s="1709" t="s">
        <v>614</v>
      </c>
      <c r="J1571" s="1709" t="s">
        <v>4958</v>
      </c>
    </row>
    <row r="1572" spans="8:10">
      <c r="H1572" s="1596" t="s">
        <v>4959</v>
      </c>
      <c r="I1572" s="1709" t="s">
        <v>614</v>
      </c>
      <c r="J1572" s="1709" t="s">
        <v>4960</v>
      </c>
    </row>
    <row r="1573" spans="8:10">
      <c r="H1573" s="1596" t="s">
        <v>4961</v>
      </c>
      <c r="I1573" s="1709" t="s">
        <v>614</v>
      </c>
      <c r="J1573" s="1709" t="s">
        <v>4962</v>
      </c>
    </row>
    <row r="1574" spans="8:10">
      <c r="H1574" s="1596" t="s">
        <v>4963</v>
      </c>
      <c r="I1574" s="1709" t="s">
        <v>614</v>
      </c>
      <c r="J1574" s="1709" t="s">
        <v>4964</v>
      </c>
    </row>
    <row r="1575" spans="8:10">
      <c r="H1575" s="1596" t="s">
        <v>4965</v>
      </c>
      <c r="I1575" s="1709" t="s">
        <v>614</v>
      </c>
      <c r="J1575" s="1709" t="s">
        <v>4966</v>
      </c>
    </row>
    <row r="1576" spans="8:10">
      <c r="H1576" s="1596" t="s">
        <v>4967</v>
      </c>
      <c r="I1576" s="1709" t="s">
        <v>614</v>
      </c>
      <c r="J1576" s="1709" t="s">
        <v>4968</v>
      </c>
    </row>
    <row r="1577" spans="8:10">
      <c r="H1577" s="1596" t="s">
        <v>4969</v>
      </c>
      <c r="I1577" s="1709" t="s">
        <v>614</v>
      </c>
      <c r="J1577" s="1709" t="s">
        <v>4970</v>
      </c>
    </row>
    <row r="1578" spans="8:10">
      <c r="H1578" s="1596" t="s">
        <v>4971</v>
      </c>
      <c r="I1578" s="1709" t="s">
        <v>614</v>
      </c>
      <c r="J1578" s="1709" t="s">
        <v>4972</v>
      </c>
    </row>
    <row r="1579" spans="8:10">
      <c r="H1579" s="1596" t="s">
        <v>4973</v>
      </c>
      <c r="I1579" s="1709" t="s">
        <v>614</v>
      </c>
      <c r="J1579" s="1709" t="s">
        <v>4974</v>
      </c>
    </row>
    <row r="1580" spans="8:10">
      <c r="H1580" s="1596" t="s">
        <v>4975</v>
      </c>
      <c r="I1580" s="1709" t="s">
        <v>614</v>
      </c>
      <c r="J1580" s="1709" t="s">
        <v>4976</v>
      </c>
    </row>
    <row r="1581" spans="8:10">
      <c r="H1581" s="1596" t="s">
        <v>4977</v>
      </c>
      <c r="I1581" s="1709" t="s">
        <v>614</v>
      </c>
      <c r="J1581" s="1709" t="s">
        <v>4978</v>
      </c>
    </row>
    <row r="1582" spans="8:10">
      <c r="H1582" s="1596" t="s">
        <v>4979</v>
      </c>
      <c r="I1582" s="1709" t="s">
        <v>614</v>
      </c>
      <c r="J1582" s="1709" t="s">
        <v>2446</v>
      </c>
    </row>
    <row r="1583" spans="8:10">
      <c r="H1583" s="1596" t="s">
        <v>4980</v>
      </c>
      <c r="I1583" s="1709" t="s">
        <v>614</v>
      </c>
      <c r="J1583" s="1709" t="s">
        <v>4981</v>
      </c>
    </row>
    <row r="1584" spans="8:10">
      <c r="H1584" s="1596" t="s">
        <v>4982</v>
      </c>
      <c r="I1584" s="1709" t="s">
        <v>614</v>
      </c>
      <c r="J1584" s="1709" t="s">
        <v>4983</v>
      </c>
    </row>
    <row r="1585" spans="8:12">
      <c r="H1585" s="1596" t="s">
        <v>4984</v>
      </c>
      <c r="I1585" s="1709" t="s">
        <v>614</v>
      </c>
      <c r="J1585" s="1709" t="s">
        <v>4985</v>
      </c>
    </row>
    <row r="1586" spans="8:12">
      <c r="H1586" s="1596" t="s">
        <v>4986</v>
      </c>
      <c r="I1586" s="1709" t="s">
        <v>614</v>
      </c>
      <c r="J1586" s="1709" t="s">
        <v>4987</v>
      </c>
    </row>
    <row r="1587" spans="8:12">
      <c r="H1587" s="1596" t="s">
        <v>4988</v>
      </c>
      <c r="I1587" s="1709" t="s">
        <v>614</v>
      </c>
      <c r="J1587" s="1709" t="s">
        <v>4989</v>
      </c>
    </row>
    <row r="1588" spans="8:12">
      <c r="H1588" s="1596" t="s">
        <v>4990</v>
      </c>
      <c r="I1588" s="1709" t="s">
        <v>614</v>
      </c>
      <c r="J1588" s="1709" t="s">
        <v>4991</v>
      </c>
    </row>
    <row r="1589" spans="8:12">
      <c r="H1589" s="1596" t="s">
        <v>5625</v>
      </c>
      <c r="I1589" s="1709" t="s">
        <v>615</v>
      </c>
      <c r="K1589" s="1709">
        <f>ROW()</f>
        <v>1589</v>
      </c>
      <c r="L1589" s="1709">
        <f>K1589+COUNTIF($I$118:$I$1905,I1589)-1</f>
        <v>1623</v>
      </c>
    </row>
    <row r="1590" spans="8:12">
      <c r="H1590" s="1596" t="s">
        <v>1378</v>
      </c>
      <c r="I1590" s="1709" t="s">
        <v>615</v>
      </c>
      <c r="J1590" s="1709" t="s">
        <v>1499</v>
      </c>
    </row>
    <row r="1591" spans="8:12">
      <c r="H1591" s="1596" t="s">
        <v>4992</v>
      </c>
      <c r="I1591" s="1709" t="s">
        <v>615</v>
      </c>
      <c r="J1591" s="1709" t="s">
        <v>4993</v>
      </c>
    </row>
    <row r="1592" spans="8:12">
      <c r="H1592" s="1596" t="s">
        <v>4994</v>
      </c>
      <c r="I1592" s="1709" t="s">
        <v>615</v>
      </c>
      <c r="J1592" s="1709" t="s">
        <v>4995</v>
      </c>
    </row>
    <row r="1593" spans="8:12">
      <c r="H1593" s="1596" t="s">
        <v>4996</v>
      </c>
      <c r="I1593" s="1709" t="s">
        <v>615</v>
      </c>
      <c r="J1593" s="1709" t="s">
        <v>4997</v>
      </c>
    </row>
    <row r="1594" spans="8:12">
      <c r="H1594" s="1596" t="s">
        <v>4998</v>
      </c>
      <c r="I1594" s="1709" t="s">
        <v>615</v>
      </c>
      <c r="J1594" s="1709" t="s">
        <v>4999</v>
      </c>
    </row>
    <row r="1595" spans="8:12">
      <c r="H1595" s="1596" t="s">
        <v>5000</v>
      </c>
      <c r="I1595" s="1709" t="s">
        <v>615</v>
      </c>
      <c r="J1595" s="1709" t="s">
        <v>5001</v>
      </c>
    </row>
    <row r="1596" spans="8:12">
      <c r="H1596" s="1596" t="s">
        <v>5002</v>
      </c>
      <c r="I1596" s="1709" t="s">
        <v>615</v>
      </c>
      <c r="J1596" s="1709" t="s">
        <v>5003</v>
      </c>
    </row>
    <row r="1597" spans="8:12">
      <c r="H1597" s="1596" t="s">
        <v>5004</v>
      </c>
      <c r="I1597" s="1709" t="s">
        <v>615</v>
      </c>
      <c r="J1597" s="1709" t="s">
        <v>5005</v>
      </c>
    </row>
    <row r="1598" spans="8:12">
      <c r="H1598" s="1596" t="s">
        <v>5006</v>
      </c>
      <c r="I1598" s="1709" t="s">
        <v>615</v>
      </c>
      <c r="J1598" s="1709" t="s">
        <v>5007</v>
      </c>
    </row>
    <row r="1599" spans="8:12">
      <c r="H1599" s="1596" t="s">
        <v>5008</v>
      </c>
      <c r="I1599" s="1709" t="s">
        <v>615</v>
      </c>
      <c r="J1599" s="1709" t="s">
        <v>5009</v>
      </c>
    </row>
    <row r="1600" spans="8:12">
      <c r="H1600" s="1596" t="s">
        <v>5010</v>
      </c>
      <c r="I1600" s="1709" t="s">
        <v>615</v>
      </c>
      <c r="J1600" s="1709" t="s">
        <v>5011</v>
      </c>
    </row>
    <row r="1601" spans="8:10">
      <c r="H1601" s="1596" t="s">
        <v>5012</v>
      </c>
      <c r="I1601" s="1709" t="s">
        <v>615</v>
      </c>
      <c r="J1601" s="1709" t="s">
        <v>5013</v>
      </c>
    </row>
    <row r="1602" spans="8:10">
      <c r="H1602" s="1596" t="s">
        <v>5014</v>
      </c>
      <c r="I1602" s="1709" t="s">
        <v>615</v>
      </c>
      <c r="J1602" s="1709" t="s">
        <v>5015</v>
      </c>
    </row>
    <row r="1603" spans="8:10">
      <c r="H1603" s="1596" t="s">
        <v>5016</v>
      </c>
      <c r="I1603" s="1709" t="s">
        <v>615</v>
      </c>
      <c r="J1603" s="1709" t="s">
        <v>5017</v>
      </c>
    </row>
    <row r="1604" spans="8:10">
      <c r="H1604" s="1596" t="s">
        <v>5018</v>
      </c>
      <c r="I1604" s="1709" t="s">
        <v>615</v>
      </c>
      <c r="J1604" s="1709" t="s">
        <v>5019</v>
      </c>
    </row>
    <row r="1605" spans="8:10">
      <c r="H1605" s="1596" t="s">
        <v>5020</v>
      </c>
      <c r="I1605" s="1709" t="s">
        <v>615</v>
      </c>
      <c r="J1605" s="1709" t="s">
        <v>5021</v>
      </c>
    </row>
    <row r="1606" spans="8:10">
      <c r="H1606" s="1596" t="s">
        <v>5022</v>
      </c>
      <c r="I1606" s="1709" t="s">
        <v>615</v>
      </c>
      <c r="J1606" s="1709" t="s">
        <v>5023</v>
      </c>
    </row>
    <row r="1607" spans="8:10">
      <c r="H1607" s="1596" t="s">
        <v>5024</v>
      </c>
      <c r="I1607" s="1709" t="s">
        <v>615</v>
      </c>
      <c r="J1607" s="1709" t="s">
        <v>5025</v>
      </c>
    </row>
    <row r="1608" spans="8:10">
      <c r="H1608" s="1596" t="s">
        <v>5026</v>
      </c>
      <c r="I1608" s="1709" t="s">
        <v>615</v>
      </c>
      <c r="J1608" s="1709" t="s">
        <v>5027</v>
      </c>
    </row>
    <row r="1609" spans="8:10">
      <c r="H1609" s="1596" t="s">
        <v>5028</v>
      </c>
      <c r="I1609" s="1709" t="s">
        <v>615</v>
      </c>
      <c r="J1609" s="1709" t="s">
        <v>5029</v>
      </c>
    </row>
    <row r="1610" spans="8:10">
      <c r="H1610" s="1596" t="s">
        <v>5030</v>
      </c>
      <c r="I1610" s="1709" t="s">
        <v>615</v>
      </c>
      <c r="J1610" s="1709" t="s">
        <v>5031</v>
      </c>
    </row>
    <row r="1611" spans="8:10">
      <c r="H1611" s="1596" t="s">
        <v>5032</v>
      </c>
      <c r="I1611" s="1709" t="s">
        <v>615</v>
      </c>
      <c r="J1611" s="1709" t="s">
        <v>5033</v>
      </c>
    </row>
    <row r="1612" spans="8:10">
      <c r="H1612" s="1596" t="s">
        <v>5034</v>
      </c>
      <c r="I1612" s="1709" t="s">
        <v>615</v>
      </c>
      <c r="J1612" s="1709" t="s">
        <v>5035</v>
      </c>
    </row>
    <row r="1613" spans="8:10">
      <c r="H1613" s="1596" t="s">
        <v>5036</v>
      </c>
      <c r="I1613" s="1709" t="s">
        <v>615</v>
      </c>
      <c r="J1613" s="1709" t="s">
        <v>5037</v>
      </c>
    </row>
    <row r="1614" spans="8:10">
      <c r="H1614" s="1596" t="s">
        <v>5038</v>
      </c>
      <c r="I1614" s="1709" t="s">
        <v>615</v>
      </c>
      <c r="J1614" s="1709" t="s">
        <v>5039</v>
      </c>
    </row>
    <row r="1615" spans="8:10">
      <c r="H1615" s="1596" t="s">
        <v>5040</v>
      </c>
      <c r="I1615" s="1709" t="s">
        <v>615</v>
      </c>
      <c r="J1615" s="1709" t="s">
        <v>5041</v>
      </c>
    </row>
    <row r="1616" spans="8:10">
      <c r="H1616" s="1596" t="s">
        <v>5042</v>
      </c>
      <c r="I1616" s="1709" t="s">
        <v>615</v>
      </c>
      <c r="J1616" s="1709" t="s">
        <v>5043</v>
      </c>
    </row>
    <row r="1617" spans="8:12">
      <c r="H1617" s="1596" t="s">
        <v>5044</v>
      </c>
      <c r="I1617" s="1709" t="s">
        <v>615</v>
      </c>
      <c r="J1617" s="1709" t="s">
        <v>5045</v>
      </c>
    </row>
    <row r="1618" spans="8:12">
      <c r="H1618" s="1596" t="s">
        <v>5046</v>
      </c>
      <c r="I1618" s="1709" t="s">
        <v>615</v>
      </c>
      <c r="J1618" s="1709" t="s">
        <v>5047</v>
      </c>
    </row>
    <row r="1619" spans="8:12">
      <c r="H1619" s="1596" t="s">
        <v>5048</v>
      </c>
      <c r="I1619" s="1709" t="s">
        <v>615</v>
      </c>
      <c r="J1619" s="1709" t="s">
        <v>5049</v>
      </c>
    </row>
    <row r="1620" spans="8:12">
      <c r="H1620" s="1596" t="s">
        <v>5050</v>
      </c>
      <c r="I1620" s="1709" t="s">
        <v>615</v>
      </c>
      <c r="J1620" s="1709" t="s">
        <v>5051</v>
      </c>
    </row>
    <row r="1621" spans="8:12">
      <c r="H1621" s="1596" t="s">
        <v>5052</v>
      </c>
      <c r="I1621" s="1709" t="s">
        <v>615</v>
      </c>
      <c r="J1621" s="1709" t="s">
        <v>5053</v>
      </c>
    </row>
    <row r="1622" spans="8:12">
      <c r="H1622" s="1596" t="s">
        <v>5054</v>
      </c>
      <c r="I1622" s="1709" t="s">
        <v>615</v>
      </c>
      <c r="J1622" s="1709" t="s">
        <v>5055</v>
      </c>
    </row>
    <row r="1623" spans="8:12">
      <c r="H1623" s="1596" t="s">
        <v>5056</v>
      </c>
      <c r="I1623" s="1709" t="s">
        <v>615</v>
      </c>
      <c r="J1623" s="1709" t="s">
        <v>5057</v>
      </c>
    </row>
    <row r="1624" spans="8:12">
      <c r="H1624" s="1596" t="s">
        <v>5626</v>
      </c>
      <c r="I1624" s="1709" t="s">
        <v>616</v>
      </c>
      <c r="K1624" s="1709">
        <f>ROW()</f>
        <v>1624</v>
      </c>
      <c r="L1624" s="1709">
        <f>K1624+COUNTIF($I$118:$I$1905,I1624)-1</f>
        <v>1684</v>
      </c>
    </row>
    <row r="1625" spans="8:12">
      <c r="H1625" s="1596" t="s">
        <v>1332</v>
      </c>
      <c r="I1625" s="1709" t="s">
        <v>616</v>
      </c>
      <c r="J1625" s="1709" t="s">
        <v>1453</v>
      </c>
    </row>
    <row r="1626" spans="8:12">
      <c r="H1626" s="1596" t="s">
        <v>1333</v>
      </c>
      <c r="I1626" s="1709" t="s">
        <v>616</v>
      </c>
      <c r="J1626" s="1709" t="s">
        <v>1454</v>
      </c>
    </row>
    <row r="1627" spans="8:12">
      <c r="H1627" s="1596" t="s">
        <v>5058</v>
      </c>
      <c r="I1627" s="1709" t="s">
        <v>616</v>
      </c>
      <c r="J1627" s="1709" t="s">
        <v>5059</v>
      </c>
    </row>
    <row r="1628" spans="8:12">
      <c r="H1628" s="1596" t="s">
        <v>1379</v>
      </c>
      <c r="I1628" s="1709" t="s">
        <v>616</v>
      </c>
      <c r="J1628" s="1709" t="s">
        <v>1500</v>
      </c>
    </row>
    <row r="1629" spans="8:12">
      <c r="H1629" s="1596" t="s">
        <v>5060</v>
      </c>
      <c r="I1629" s="1709" t="s">
        <v>616</v>
      </c>
      <c r="J1629" s="1709" t="s">
        <v>5061</v>
      </c>
    </row>
    <row r="1630" spans="8:12">
      <c r="H1630" s="1596" t="s">
        <v>5062</v>
      </c>
      <c r="I1630" s="1709" t="s">
        <v>616</v>
      </c>
      <c r="J1630" s="1709" t="s">
        <v>5063</v>
      </c>
    </row>
    <row r="1631" spans="8:12">
      <c r="H1631" s="1596" t="s">
        <v>5064</v>
      </c>
      <c r="I1631" s="1709" t="s">
        <v>616</v>
      </c>
      <c r="J1631" s="1709" t="s">
        <v>5065</v>
      </c>
    </row>
    <row r="1632" spans="8:12">
      <c r="H1632" s="1596" t="s">
        <v>5066</v>
      </c>
      <c r="I1632" s="1709" t="s">
        <v>616</v>
      </c>
      <c r="J1632" s="1709" t="s">
        <v>5067</v>
      </c>
    </row>
    <row r="1633" spans="8:10">
      <c r="H1633" s="1596" t="s">
        <v>5068</v>
      </c>
      <c r="I1633" s="1709" t="s">
        <v>616</v>
      </c>
      <c r="J1633" s="1709" t="s">
        <v>5069</v>
      </c>
    </row>
    <row r="1634" spans="8:10">
      <c r="H1634" s="1596" t="s">
        <v>5070</v>
      </c>
      <c r="I1634" s="1709" t="s">
        <v>616</v>
      </c>
      <c r="J1634" s="1709" t="s">
        <v>5071</v>
      </c>
    </row>
    <row r="1635" spans="8:10">
      <c r="H1635" s="1596" t="s">
        <v>5072</v>
      </c>
      <c r="I1635" s="1709" t="s">
        <v>616</v>
      </c>
      <c r="J1635" s="1709" t="s">
        <v>5073</v>
      </c>
    </row>
    <row r="1636" spans="8:10">
      <c r="H1636" s="1596" t="s">
        <v>5074</v>
      </c>
      <c r="I1636" s="1709" t="s">
        <v>616</v>
      </c>
      <c r="J1636" s="1709" t="s">
        <v>5075</v>
      </c>
    </row>
    <row r="1637" spans="8:10">
      <c r="H1637" s="1596" t="s">
        <v>5076</v>
      </c>
      <c r="I1637" s="1709" t="s">
        <v>616</v>
      </c>
      <c r="J1637" s="1709" t="s">
        <v>5077</v>
      </c>
    </row>
    <row r="1638" spans="8:10">
      <c r="H1638" s="1596" t="s">
        <v>5078</v>
      </c>
      <c r="I1638" s="1709" t="s">
        <v>616</v>
      </c>
      <c r="J1638" s="1709" t="s">
        <v>5079</v>
      </c>
    </row>
    <row r="1639" spans="8:10">
      <c r="H1639" s="1596" t="s">
        <v>5080</v>
      </c>
      <c r="I1639" s="1709" t="s">
        <v>616</v>
      </c>
      <c r="J1639" s="1709" t="s">
        <v>5081</v>
      </c>
    </row>
    <row r="1640" spans="8:10">
      <c r="H1640" s="1596" t="s">
        <v>5082</v>
      </c>
      <c r="I1640" s="1709" t="s">
        <v>616</v>
      </c>
      <c r="J1640" s="1709" t="s">
        <v>5083</v>
      </c>
    </row>
    <row r="1641" spans="8:10">
      <c r="H1641" s="1596" t="s">
        <v>5084</v>
      </c>
      <c r="I1641" s="1709" t="s">
        <v>616</v>
      </c>
      <c r="J1641" s="1709" t="s">
        <v>5085</v>
      </c>
    </row>
    <row r="1642" spans="8:10">
      <c r="H1642" s="1596" t="s">
        <v>5086</v>
      </c>
      <c r="I1642" s="1709" t="s">
        <v>616</v>
      </c>
      <c r="J1642" s="1709" t="s">
        <v>5087</v>
      </c>
    </row>
    <row r="1643" spans="8:10">
      <c r="H1643" s="1596" t="s">
        <v>5088</v>
      </c>
      <c r="I1643" s="1709" t="s">
        <v>616</v>
      </c>
      <c r="J1643" s="1709" t="s">
        <v>5089</v>
      </c>
    </row>
    <row r="1644" spans="8:10">
      <c r="H1644" s="1596" t="s">
        <v>5090</v>
      </c>
      <c r="I1644" s="1709" t="s">
        <v>616</v>
      </c>
      <c r="J1644" s="1709" t="s">
        <v>5091</v>
      </c>
    </row>
    <row r="1645" spans="8:10">
      <c r="H1645" s="1596" t="s">
        <v>5092</v>
      </c>
      <c r="I1645" s="1709" t="s">
        <v>616</v>
      </c>
      <c r="J1645" s="1709" t="s">
        <v>5093</v>
      </c>
    </row>
    <row r="1646" spans="8:10">
      <c r="H1646" s="1596" t="s">
        <v>5094</v>
      </c>
      <c r="I1646" s="1709" t="s">
        <v>616</v>
      </c>
      <c r="J1646" s="1709" t="s">
        <v>5095</v>
      </c>
    </row>
    <row r="1647" spans="8:10">
      <c r="H1647" s="1596" t="s">
        <v>5096</v>
      </c>
      <c r="I1647" s="1709" t="s">
        <v>616</v>
      </c>
      <c r="J1647" s="1709" t="s">
        <v>5097</v>
      </c>
    </row>
    <row r="1648" spans="8:10">
      <c r="H1648" s="1596" t="s">
        <v>5098</v>
      </c>
      <c r="I1648" s="1709" t="s">
        <v>616</v>
      </c>
      <c r="J1648" s="1709" t="s">
        <v>5099</v>
      </c>
    </row>
    <row r="1649" spans="8:10">
      <c r="H1649" s="1596" t="s">
        <v>5100</v>
      </c>
      <c r="I1649" s="1709" t="s">
        <v>616</v>
      </c>
      <c r="J1649" s="1709" t="s">
        <v>5101</v>
      </c>
    </row>
    <row r="1650" spans="8:10">
      <c r="H1650" s="1596" t="s">
        <v>5102</v>
      </c>
      <c r="I1650" s="1709" t="s">
        <v>616</v>
      </c>
      <c r="J1650" s="1709" t="s">
        <v>5103</v>
      </c>
    </row>
    <row r="1651" spans="8:10">
      <c r="H1651" s="1596" t="s">
        <v>5104</v>
      </c>
      <c r="I1651" s="1709" t="s">
        <v>616</v>
      </c>
      <c r="J1651" s="1709" t="s">
        <v>5105</v>
      </c>
    </row>
    <row r="1652" spans="8:10">
      <c r="H1652" s="1596" t="s">
        <v>5106</v>
      </c>
      <c r="I1652" s="1709" t="s">
        <v>616</v>
      </c>
      <c r="J1652" s="1709" t="s">
        <v>5107</v>
      </c>
    </row>
    <row r="1653" spans="8:10">
      <c r="H1653" s="1596" t="s">
        <v>5627</v>
      </c>
      <c r="I1653" s="1709" t="s">
        <v>5108</v>
      </c>
      <c r="J1653" s="1709" t="s">
        <v>5109</v>
      </c>
    </row>
    <row r="1654" spans="8:10">
      <c r="H1654" s="1596" t="s">
        <v>5110</v>
      </c>
      <c r="I1654" s="1709" t="s">
        <v>616</v>
      </c>
      <c r="J1654" s="1709" t="s">
        <v>5111</v>
      </c>
    </row>
    <row r="1655" spans="8:10">
      <c r="H1655" s="1596" t="s">
        <v>5112</v>
      </c>
      <c r="I1655" s="1709" t="s">
        <v>616</v>
      </c>
      <c r="J1655" s="1709" t="s">
        <v>5113</v>
      </c>
    </row>
    <row r="1656" spans="8:10">
      <c r="H1656" s="1596" t="s">
        <v>5114</v>
      </c>
      <c r="I1656" s="1709" t="s">
        <v>616</v>
      </c>
      <c r="J1656" s="1709" t="s">
        <v>5115</v>
      </c>
    </row>
    <row r="1657" spans="8:10">
      <c r="H1657" s="1596" t="s">
        <v>5116</v>
      </c>
      <c r="I1657" s="1709" t="s">
        <v>616</v>
      </c>
      <c r="J1657" s="1709" t="s">
        <v>5117</v>
      </c>
    </row>
    <row r="1658" spans="8:10">
      <c r="H1658" s="1596" t="s">
        <v>5118</v>
      </c>
      <c r="I1658" s="1709" t="s">
        <v>616</v>
      </c>
      <c r="J1658" s="1709" t="s">
        <v>5119</v>
      </c>
    </row>
    <row r="1659" spans="8:10">
      <c r="H1659" s="1596" t="s">
        <v>5120</v>
      </c>
      <c r="I1659" s="1709" t="s">
        <v>616</v>
      </c>
      <c r="J1659" s="1709" t="s">
        <v>5121</v>
      </c>
    </row>
    <row r="1660" spans="8:10">
      <c r="H1660" s="1596" t="s">
        <v>5122</v>
      </c>
      <c r="I1660" s="1709" t="s">
        <v>616</v>
      </c>
      <c r="J1660" s="1709" t="s">
        <v>5123</v>
      </c>
    </row>
    <row r="1661" spans="8:10">
      <c r="H1661" s="1596" t="s">
        <v>5124</v>
      </c>
      <c r="I1661" s="1709" t="s">
        <v>616</v>
      </c>
      <c r="J1661" s="1709" t="s">
        <v>5125</v>
      </c>
    </row>
    <row r="1662" spans="8:10">
      <c r="H1662" s="1596" t="s">
        <v>5126</v>
      </c>
      <c r="I1662" s="1709" t="s">
        <v>616</v>
      </c>
      <c r="J1662" s="1709" t="s">
        <v>5127</v>
      </c>
    </row>
    <row r="1663" spans="8:10">
      <c r="H1663" s="1596" t="s">
        <v>5128</v>
      </c>
      <c r="I1663" s="1709" t="s">
        <v>616</v>
      </c>
      <c r="J1663" s="1709" t="s">
        <v>5129</v>
      </c>
    </row>
    <row r="1664" spans="8:10">
      <c r="H1664" s="1596" t="s">
        <v>5130</v>
      </c>
      <c r="I1664" s="1709" t="s">
        <v>616</v>
      </c>
      <c r="J1664" s="1709" t="s">
        <v>5131</v>
      </c>
    </row>
    <row r="1665" spans="8:10">
      <c r="H1665" s="1596" t="s">
        <v>5132</v>
      </c>
      <c r="I1665" s="1709" t="s">
        <v>616</v>
      </c>
      <c r="J1665" s="1709" t="s">
        <v>5133</v>
      </c>
    </row>
    <row r="1666" spans="8:10">
      <c r="H1666" s="1596" t="s">
        <v>5134</v>
      </c>
      <c r="I1666" s="1709" t="s">
        <v>616</v>
      </c>
      <c r="J1666" s="1709" t="s">
        <v>5135</v>
      </c>
    </row>
    <row r="1667" spans="8:10">
      <c r="H1667" s="1596" t="s">
        <v>5136</v>
      </c>
      <c r="I1667" s="1709" t="s">
        <v>616</v>
      </c>
      <c r="J1667" s="1709" t="s">
        <v>5137</v>
      </c>
    </row>
    <row r="1668" spans="8:10">
      <c r="H1668" s="1596" t="s">
        <v>5138</v>
      </c>
      <c r="I1668" s="1709" t="s">
        <v>616</v>
      </c>
      <c r="J1668" s="1709" t="s">
        <v>5139</v>
      </c>
    </row>
    <row r="1669" spans="8:10">
      <c r="H1669" s="1596" t="s">
        <v>5140</v>
      </c>
      <c r="I1669" s="1709" t="s">
        <v>616</v>
      </c>
      <c r="J1669" s="1709" t="s">
        <v>5141</v>
      </c>
    </row>
    <row r="1670" spans="8:10">
      <c r="H1670" s="1596" t="s">
        <v>5142</v>
      </c>
      <c r="I1670" s="1709" t="s">
        <v>616</v>
      </c>
      <c r="J1670" s="1709" t="s">
        <v>5143</v>
      </c>
    </row>
    <row r="1671" spans="8:10">
      <c r="H1671" s="1596" t="s">
        <v>5144</v>
      </c>
      <c r="I1671" s="1709" t="s">
        <v>616</v>
      </c>
      <c r="J1671" s="1709" t="s">
        <v>5145</v>
      </c>
    </row>
    <row r="1672" spans="8:10">
      <c r="H1672" s="1596" t="s">
        <v>5146</v>
      </c>
      <c r="I1672" s="1709" t="s">
        <v>616</v>
      </c>
      <c r="J1672" s="1709" t="s">
        <v>4647</v>
      </c>
    </row>
    <row r="1673" spans="8:10">
      <c r="H1673" s="1596" t="s">
        <v>5147</v>
      </c>
      <c r="I1673" s="1709" t="s">
        <v>616</v>
      </c>
      <c r="J1673" s="1709" t="s">
        <v>5148</v>
      </c>
    </row>
    <row r="1674" spans="8:10">
      <c r="H1674" s="1596" t="s">
        <v>5149</v>
      </c>
      <c r="I1674" s="1709" t="s">
        <v>616</v>
      </c>
      <c r="J1674" s="1709" t="s">
        <v>5150</v>
      </c>
    </row>
    <row r="1675" spans="8:10">
      <c r="H1675" s="1596" t="s">
        <v>5151</v>
      </c>
      <c r="I1675" s="1709" t="s">
        <v>616</v>
      </c>
      <c r="J1675" s="1709" t="s">
        <v>5152</v>
      </c>
    </row>
    <row r="1676" spans="8:10">
      <c r="H1676" s="1596" t="s">
        <v>5153</v>
      </c>
      <c r="I1676" s="1709" t="s">
        <v>616</v>
      </c>
      <c r="J1676" s="1709" t="s">
        <v>2904</v>
      </c>
    </row>
    <row r="1677" spans="8:10">
      <c r="H1677" s="1596" t="s">
        <v>5154</v>
      </c>
      <c r="I1677" s="1709" t="s">
        <v>616</v>
      </c>
      <c r="J1677" s="1709" t="s">
        <v>5155</v>
      </c>
    </row>
    <row r="1678" spans="8:10">
      <c r="H1678" s="1596" t="s">
        <v>5156</v>
      </c>
      <c r="I1678" s="1709" t="s">
        <v>616</v>
      </c>
      <c r="J1678" s="1709" t="s">
        <v>5157</v>
      </c>
    </row>
    <row r="1679" spans="8:10">
      <c r="H1679" s="1596" t="s">
        <v>5158</v>
      </c>
      <c r="I1679" s="1709" t="s">
        <v>616</v>
      </c>
      <c r="J1679" s="1709" t="s">
        <v>5159</v>
      </c>
    </row>
    <row r="1680" spans="8:10">
      <c r="H1680" s="1596" t="s">
        <v>5160</v>
      </c>
      <c r="I1680" s="1709" t="s">
        <v>616</v>
      </c>
      <c r="J1680" s="1709" t="s">
        <v>5161</v>
      </c>
    </row>
    <row r="1681" spans="8:12">
      <c r="H1681" s="1596" t="s">
        <v>5162</v>
      </c>
      <c r="I1681" s="1709" t="s">
        <v>616</v>
      </c>
      <c r="J1681" s="1709" t="s">
        <v>5163</v>
      </c>
    </row>
    <row r="1682" spans="8:12">
      <c r="H1682" s="1596" t="s">
        <v>5164</v>
      </c>
      <c r="I1682" s="1709" t="s">
        <v>616</v>
      </c>
      <c r="J1682" s="1709" t="s">
        <v>5165</v>
      </c>
    </row>
    <row r="1683" spans="8:12">
      <c r="H1683" s="1596" t="s">
        <v>5166</v>
      </c>
      <c r="I1683" s="1709" t="s">
        <v>616</v>
      </c>
      <c r="J1683" s="1709" t="s">
        <v>5167</v>
      </c>
    </row>
    <row r="1684" spans="8:12">
      <c r="H1684" s="1596" t="s">
        <v>5168</v>
      </c>
      <c r="I1684" s="1709" t="s">
        <v>616</v>
      </c>
      <c r="J1684" s="1709" t="s">
        <v>5169</v>
      </c>
    </row>
    <row r="1685" spans="8:12">
      <c r="H1685" s="1596" t="s">
        <v>5628</v>
      </c>
      <c r="I1685" s="1709" t="s">
        <v>5170</v>
      </c>
      <c r="K1685" s="1709">
        <f>ROW()</f>
        <v>1685</v>
      </c>
      <c r="L1685" s="1709">
        <f>K1685+COUNTIF($I$118:$I$1905,I1685)-1</f>
        <v>1705</v>
      </c>
    </row>
    <row r="1686" spans="8:12">
      <c r="H1686" s="1596" t="s">
        <v>1422</v>
      </c>
      <c r="I1686" s="1709" t="s">
        <v>5170</v>
      </c>
      <c r="J1686" s="1709" t="s">
        <v>1301</v>
      </c>
    </row>
    <row r="1687" spans="8:12">
      <c r="H1687" s="1596" t="s">
        <v>5171</v>
      </c>
      <c r="I1687" s="1709" t="s">
        <v>5170</v>
      </c>
      <c r="J1687" s="1709" t="s">
        <v>5172</v>
      </c>
    </row>
    <row r="1688" spans="8:12">
      <c r="H1688" s="1596" t="s">
        <v>5173</v>
      </c>
      <c r="I1688" s="1709" t="s">
        <v>5170</v>
      </c>
      <c r="J1688" s="1709" t="s">
        <v>5174</v>
      </c>
    </row>
    <row r="1689" spans="8:12">
      <c r="H1689" s="1596" t="s">
        <v>5175</v>
      </c>
      <c r="I1689" s="1709" t="s">
        <v>5170</v>
      </c>
      <c r="J1689" s="1709" t="s">
        <v>5176</v>
      </c>
    </row>
    <row r="1690" spans="8:12">
      <c r="H1690" s="1596" t="s">
        <v>5177</v>
      </c>
      <c r="I1690" s="1709" t="s">
        <v>5170</v>
      </c>
      <c r="J1690" s="1709" t="s">
        <v>5178</v>
      </c>
    </row>
    <row r="1691" spans="8:12">
      <c r="H1691" s="1596" t="s">
        <v>5179</v>
      </c>
      <c r="I1691" s="1709" t="s">
        <v>5170</v>
      </c>
      <c r="J1691" s="1709" t="s">
        <v>5180</v>
      </c>
    </row>
    <row r="1692" spans="8:12">
      <c r="H1692" s="1596" t="s">
        <v>5181</v>
      </c>
      <c r="I1692" s="1709" t="s">
        <v>5170</v>
      </c>
      <c r="J1692" s="1709" t="s">
        <v>5182</v>
      </c>
    </row>
    <row r="1693" spans="8:12">
      <c r="H1693" s="1596" t="s">
        <v>5183</v>
      </c>
      <c r="I1693" s="1709" t="s">
        <v>5170</v>
      </c>
      <c r="J1693" s="1709" t="s">
        <v>5184</v>
      </c>
    </row>
    <row r="1694" spans="8:12">
      <c r="H1694" s="1596" t="s">
        <v>5185</v>
      </c>
      <c r="I1694" s="1709" t="s">
        <v>5170</v>
      </c>
      <c r="J1694" s="1709" t="s">
        <v>5186</v>
      </c>
    </row>
    <row r="1695" spans="8:12">
      <c r="H1695" s="1596" t="s">
        <v>5187</v>
      </c>
      <c r="I1695" s="1709" t="s">
        <v>5170</v>
      </c>
      <c r="J1695" s="1709" t="s">
        <v>5188</v>
      </c>
    </row>
    <row r="1696" spans="8:12">
      <c r="H1696" s="1596" t="s">
        <v>5189</v>
      </c>
      <c r="I1696" s="1709" t="s">
        <v>5170</v>
      </c>
      <c r="J1696" s="1709" t="s">
        <v>5190</v>
      </c>
    </row>
    <row r="1697" spans="8:12">
      <c r="H1697" s="1596" t="s">
        <v>5191</v>
      </c>
      <c r="I1697" s="1709" t="s">
        <v>5170</v>
      </c>
      <c r="J1697" s="1709" t="s">
        <v>5192</v>
      </c>
    </row>
    <row r="1698" spans="8:12">
      <c r="H1698" s="1596" t="s">
        <v>5193</v>
      </c>
      <c r="I1698" s="1709" t="s">
        <v>5170</v>
      </c>
      <c r="J1698" s="1709" t="s">
        <v>5194</v>
      </c>
    </row>
    <row r="1699" spans="8:12">
      <c r="H1699" s="1596" t="s">
        <v>5195</v>
      </c>
      <c r="I1699" s="1709" t="s">
        <v>5170</v>
      </c>
      <c r="J1699" s="1709" t="s">
        <v>5196</v>
      </c>
    </row>
    <row r="1700" spans="8:12">
      <c r="H1700" s="1596" t="s">
        <v>5197</v>
      </c>
      <c r="I1700" s="1709" t="s">
        <v>5170</v>
      </c>
      <c r="J1700" s="1709" t="s">
        <v>5198</v>
      </c>
    </row>
    <row r="1701" spans="8:12">
      <c r="H1701" s="1596" t="s">
        <v>5199</v>
      </c>
      <c r="I1701" s="1709" t="s">
        <v>5170</v>
      </c>
      <c r="J1701" s="1709" t="s">
        <v>5200</v>
      </c>
    </row>
    <row r="1702" spans="8:12">
      <c r="H1702" s="1596" t="s">
        <v>5201</v>
      </c>
      <c r="I1702" s="1709" t="s">
        <v>5170</v>
      </c>
      <c r="J1702" s="1709" t="s">
        <v>5202</v>
      </c>
    </row>
    <row r="1703" spans="8:12">
      <c r="H1703" s="1596" t="s">
        <v>5203</v>
      </c>
      <c r="I1703" s="1709" t="s">
        <v>5170</v>
      </c>
      <c r="J1703" s="1709" t="s">
        <v>5204</v>
      </c>
    </row>
    <row r="1704" spans="8:12">
      <c r="H1704" s="1596" t="s">
        <v>5205</v>
      </c>
      <c r="I1704" s="1709" t="s">
        <v>5170</v>
      </c>
      <c r="J1704" s="1709" t="s">
        <v>5206</v>
      </c>
    </row>
    <row r="1705" spans="8:12">
      <c r="H1705" s="1596" t="s">
        <v>5207</v>
      </c>
      <c r="I1705" s="1709" t="s">
        <v>5170</v>
      </c>
      <c r="J1705" s="1709" t="s">
        <v>5208</v>
      </c>
    </row>
    <row r="1706" spans="8:12">
      <c r="H1706" s="1596" t="s">
        <v>5629</v>
      </c>
      <c r="I1706" s="1709" t="s">
        <v>617</v>
      </c>
      <c r="K1706" s="1709">
        <f>ROW()</f>
        <v>1706</v>
      </c>
      <c r="L1706" s="1709">
        <f>K1706+COUNTIF($I$118:$I$1905,I1706)-1</f>
        <v>1727</v>
      </c>
    </row>
    <row r="1707" spans="8:12">
      <c r="H1707" s="1596" t="s">
        <v>1380</v>
      </c>
      <c r="I1707" s="1709" t="s">
        <v>617</v>
      </c>
      <c r="J1707" s="1709" t="s">
        <v>1501</v>
      </c>
    </row>
    <row r="1708" spans="8:12">
      <c r="H1708" s="1596" t="s">
        <v>1421</v>
      </c>
      <c r="I1708" s="1709" t="s">
        <v>617</v>
      </c>
      <c r="J1708" s="1709" t="s">
        <v>1541</v>
      </c>
    </row>
    <row r="1709" spans="8:12">
      <c r="H1709" s="1596" t="s">
        <v>5209</v>
      </c>
      <c r="I1709" s="1709" t="s">
        <v>617</v>
      </c>
      <c r="J1709" s="1709" t="s">
        <v>5210</v>
      </c>
    </row>
    <row r="1710" spans="8:12">
      <c r="H1710" s="1596" t="s">
        <v>5211</v>
      </c>
      <c r="I1710" s="1709" t="s">
        <v>617</v>
      </c>
      <c r="J1710" s="1709" t="s">
        <v>5212</v>
      </c>
    </row>
    <row r="1711" spans="8:12">
      <c r="H1711" s="1596" t="s">
        <v>5213</v>
      </c>
      <c r="I1711" s="1709" t="s">
        <v>617</v>
      </c>
      <c r="J1711" s="1709" t="s">
        <v>5214</v>
      </c>
    </row>
    <row r="1712" spans="8:12">
      <c r="H1712" s="1596" t="s">
        <v>5215</v>
      </c>
      <c r="I1712" s="1709" t="s">
        <v>617</v>
      </c>
      <c r="J1712" s="1709" t="s">
        <v>5216</v>
      </c>
    </row>
    <row r="1713" spans="8:12">
      <c r="H1713" s="1596" t="s">
        <v>5217</v>
      </c>
      <c r="I1713" s="1709" t="s">
        <v>617</v>
      </c>
      <c r="J1713" s="1709" t="s">
        <v>5218</v>
      </c>
    </row>
    <row r="1714" spans="8:12">
      <c r="H1714" s="1596" t="s">
        <v>5219</v>
      </c>
      <c r="I1714" s="1709" t="s">
        <v>617</v>
      </c>
      <c r="J1714" s="1709" t="s">
        <v>5220</v>
      </c>
    </row>
    <row r="1715" spans="8:12">
      <c r="H1715" s="1596" t="s">
        <v>5221</v>
      </c>
      <c r="I1715" s="1709" t="s">
        <v>617</v>
      </c>
      <c r="J1715" s="1709" t="s">
        <v>5222</v>
      </c>
    </row>
    <row r="1716" spans="8:12">
      <c r="H1716" s="1596" t="s">
        <v>5223</v>
      </c>
      <c r="I1716" s="1709" t="s">
        <v>617</v>
      </c>
      <c r="J1716" s="1709" t="s">
        <v>5224</v>
      </c>
    </row>
    <row r="1717" spans="8:12">
      <c r="H1717" s="1596" t="s">
        <v>5225</v>
      </c>
      <c r="I1717" s="1709" t="s">
        <v>617</v>
      </c>
      <c r="J1717" s="1709" t="s">
        <v>5226</v>
      </c>
    </row>
    <row r="1718" spans="8:12">
      <c r="H1718" s="1596" t="s">
        <v>5227</v>
      </c>
      <c r="I1718" s="1709" t="s">
        <v>617</v>
      </c>
      <c r="J1718" s="1709" t="s">
        <v>5228</v>
      </c>
    </row>
    <row r="1719" spans="8:12">
      <c r="H1719" s="1596" t="s">
        <v>5229</v>
      </c>
      <c r="I1719" s="1709" t="s">
        <v>617</v>
      </c>
      <c r="J1719" s="1709" t="s">
        <v>5230</v>
      </c>
    </row>
    <row r="1720" spans="8:12">
      <c r="H1720" s="1596" t="s">
        <v>5231</v>
      </c>
      <c r="I1720" s="1709" t="s">
        <v>617</v>
      </c>
      <c r="J1720" s="1709" t="s">
        <v>5232</v>
      </c>
    </row>
    <row r="1721" spans="8:12">
      <c r="H1721" s="1596" t="s">
        <v>5233</v>
      </c>
      <c r="I1721" s="1709" t="s">
        <v>617</v>
      </c>
      <c r="J1721" s="1709" t="s">
        <v>5234</v>
      </c>
    </row>
    <row r="1722" spans="8:12">
      <c r="H1722" s="1596" t="s">
        <v>5235</v>
      </c>
      <c r="I1722" s="1709" t="s">
        <v>617</v>
      </c>
      <c r="J1722" s="1709" t="s">
        <v>5236</v>
      </c>
    </row>
    <row r="1723" spans="8:12">
      <c r="H1723" s="1596" t="s">
        <v>5237</v>
      </c>
      <c r="I1723" s="1709" t="s">
        <v>617</v>
      </c>
      <c r="J1723" s="1709" t="s">
        <v>5238</v>
      </c>
    </row>
    <row r="1724" spans="8:12">
      <c r="H1724" s="1596" t="s">
        <v>5239</v>
      </c>
      <c r="I1724" s="1709" t="s">
        <v>617</v>
      </c>
      <c r="J1724" s="1709" t="s">
        <v>5240</v>
      </c>
    </row>
    <row r="1725" spans="8:12">
      <c r="H1725" s="1596" t="s">
        <v>5241</v>
      </c>
      <c r="I1725" s="1709" t="s">
        <v>617</v>
      </c>
      <c r="J1725" s="1709" t="s">
        <v>5242</v>
      </c>
    </row>
    <row r="1726" spans="8:12">
      <c r="H1726" s="1596" t="s">
        <v>5243</v>
      </c>
      <c r="I1726" s="1709" t="s">
        <v>617</v>
      </c>
      <c r="J1726" s="1709" t="s">
        <v>5244</v>
      </c>
    </row>
    <row r="1727" spans="8:12">
      <c r="H1727" s="1596" t="s">
        <v>5245</v>
      </c>
      <c r="I1727" s="1709" t="s">
        <v>617</v>
      </c>
      <c r="J1727" s="1709" t="s">
        <v>5246</v>
      </c>
    </row>
    <row r="1728" spans="8:12">
      <c r="H1728" s="1596" t="s">
        <v>5630</v>
      </c>
      <c r="I1728" s="1709" t="s">
        <v>618</v>
      </c>
      <c r="K1728" s="1709">
        <f>ROW()</f>
        <v>1728</v>
      </c>
      <c r="L1728" s="1709">
        <f>K1728+COUNTIF($I$118:$I$1905,I1728)-1</f>
        <v>1773</v>
      </c>
    </row>
    <row r="1729" spans="8:10">
      <c r="H1729" s="1596" t="s">
        <v>1344</v>
      </c>
      <c r="I1729" s="1709" t="s">
        <v>618</v>
      </c>
      <c r="J1729" s="1709" t="s">
        <v>1465</v>
      </c>
    </row>
    <row r="1730" spans="8:10">
      <c r="H1730" s="1596" t="s">
        <v>5247</v>
      </c>
      <c r="I1730" s="1709" t="s">
        <v>618</v>
      </c>
      <c r="J1730" s="1709" t="s">
        <v>5248</v>
      </c>
    </row>
    <row r="1731" spans="8:10">
      <c r="H1731" s="1596" t="s">
        <v>5249</v>
      </c>
      <c r="I1731" s="1709" t="s">
        <v>618</v>
      </c>
      <c r="J1731" s="1709" t="s">
        <v>5250</v>
      </c>
    </row>
    <row r="1732" spans="8:10">
      <c r="H1732" s="1596" t="s">
        <v>5251</v>
      </c>
      <c r="I1732" s="1709" t="s">
        <v>618</v>
      </c>
      <c r="J1732" s="1709" t="s">
        <v>5252</v>
      </c>
    </row>
    <row r="1733" spans="8:10">
      <c r="H1733" s="1596" t="s">
        <v>5253</v>
      </c>
      <c r="I1733" s="1709" t="s">
        <v>618</v>
      </c>
      <c r="J1733" s="1709" t="s">
        <v>5254</v>
      </c>
    </row>
    <row r="1734" spans="8:10">
      <c r="H1734" s="1596" t="s">
        <v>5255</v>
      </c>
      <c r="I1734" s="1709" t="s">
        <v>618</v>
      </c>
      <c r="J1734" s="1709" t="s">
        <v>5256</v>
      </c>
    </row>
    <row r="1735" spans="8:10">
      <c r="H1735" s="1596" t="s">
        <v>5257</v>
      </c>
      <c r="I1735" s="1709" t="s">
        <v>618</v>
      </c>
      <c r="J1735" s="1709" t="s">
        <v>5258</v>
      </c>
    </row>
    <row r="1736" spans="8:10">
      <c r="H1736" s="1596" t="s">
        <v>5259</v>
      </c>
      <c r="I1736" s="1709" t="s">
        <v>618</v>
      </c>
      <c r="J1736" s="1709" t="s">
        <v>5260</v>
      </c>
    </row>
    <row r="1737" spans="8:10">
      <c r="H1737" s="1596" t="s">
        <v>5261</v>
      </c>
      <c r="I1737" s="1709" t="s">
        <v>618</v>
      </c>
      <c r="J1737" s="1709" t="s">
        <v>5262</v>
      </c>
    </row>
    <row r="1738" spans="8:10">
      <c r="H1738" s="1596" t="s">
        <v>5263</v>
      </c>
      <c r="I1738" s="1709" t="s">
        <v>618</v>
      </c>
      <c r="J1738" s="1709" t="s">
        <v>5264</v>
      </c>
    </row>
    <row r="1739" spans="8:10">
      <c r="H1739" s="1596" t="s">
        <v>5265</v>
      </c>
      <c r="I1739" s="1709" t="s">
        <v>618</v>
      </c>
      <c r="J1739" s="1709" t="s">
        <v>5266</v>
      </c>
    </row>
    <row r="1740" spans="8:10">
      <c r="H1740" s="1596" t="s">
        <v>5267</v>
      </c>
      <c r="I1740" s="1709" t="s">
        <v>618</v>
      </c>
      <c r="J1740" s="1709" t="s">
        <v>5268</v>
      </c>
    </row>
    <row r="1741" spans="8:10">
      <c r="H1741" s="1596" t="s">
        <v>5269</v>
      </c>
      <c r="I1741" s="1709" t="s">
        <v>618</v>
      </c>
      <c r="J1741" s="1709" t="s">
        <v>5270</v>
      </c>
    </row>
    <row r="1742" spans="8:10">
      <c r="H1742" s="1596" t="s">
        <v>5271</v>
      </c>
      <c r="I1742" s="1709" t="s">
        <v>618</v>
      </c>
      <c r="J1742" s="1709" t="s">
        <v>5272</v>
      </c>
    </row>
    <row r="1743" spans="8:10">
      <c r="H1743" s="1596" t="s">
        <v>5273</v>
      </c>
      <c r="I1743" s="1709" t="s">
        <v>618</v>
      </c>
      <c r="J1743" s="1709" t="s">
        <v>2930</v>
      </c>
    </row>
    <row r="1744" spans="8:10">
      <c r="H1744" s="1596" t="s">
        <v>5274</v>
      </c>
      <c r="I1744" s="1709" t="s">
        <v>618</v>
      </c>
      <c r="J1744" s="1709" t="s">
        <v>5275</v>
      </c>
    </row>
    <row r="1745" spans="8:10">
      <c r="H1745" s="1596" t="s">
        <v>5276</v>
      </c>
      <c r="I1745" s="1709" t="s">
        <v>618</v>
      </c>
      <c r="J1745" s="1709" t="s">
        <v>5277</v>
      </c>
    </row>
    <row r="1746" spans="8:10">
      <c r="H1746" s="1596" t="s">
        <v>5278</v>
      </c>
      <c r="I1746" s="1709" t="s">
        <v>618</v>
      </c>
      <c r="J1746" s="1709" t="s">
        <v>5279</v>
      </c>
    </row>
    <row r="1747" spans="8:10">
      <c r="H1747" s="1596" t="s">
        <v>5280</v>
      </c>
      <c r="I1747" s="1709" t="s">
        <v>618</v>
      </c>
      <c r="J1747" s="1709" t="s">
        <v>5281</v>
      </c>
    </row>
    <row r="1748" spans="8:10">
      <c r="H1748" s="1596" t="s">
        <v>5282</v>
      </c>
      <c r="I1748" s="1709" t="s">
        <v>618</v>
      </c>
      <c r="J1748" s="1709" t="s">
        <v>5283</v>
      </c>
    </row>
    <row r="1749" spans="8:10">
      <c r="H1749" s="1596" t="s">
        <v>5284</v>
      </c>
      <c r="I1749" s="1709" t="s">
        <v>618</v>
      </c>
      <c r="J1749" s="1709" t="s">
        <v>5285</v>
      </c>
    </row>
    <row r="1750" spans="8:10">
      <c r="H1750" s="1596" t="s">
        <v>5286</v>
      </c>
      <c r="I1750" s="1709" t="s">
        <v>618</v>
      </c>
      <c r="J1750" s="1709" t="s">
        <v>5287</v>
      </c>
    </row>
    <row r="1751" spans="8:10">
      <c r="H1751" s="1596" t="s">
        <v>5288</v>
      </c>
      <c r="I1751" s="1709" t="s">
        <v>618</v>
      </c>
      <c r="J1751" s="1709" t="s">
        <v>3040</v>
      </c>
    </row>
    <row r="1752" spans="8:10">
      <c r="H1752" s="1596" t="s">
        <v>5289</v>
      </c>
      <c r="I1752" s="1709" t="s">
        <v>618</v>
      </c>
      <c r="J1752" s="1709" t="s">
        <v>5290</v>
      </c>
    </row>
    <row r="1753" spans="8:10">
      <c r="H1753" s="1596" t="s">
        <v>5291</v>
      </c>
      <c r="I1753" s="1709" t="s">
        <v>618</v>
      </c>
      <c r="J1753" s="1709" t="s">
        <v>3965</v>
      </c>
    </row>
    <row r="1754" spans="8:10">
      <c r="H1754" s="1596" t="s">
        <v>5292</v>
      </c>
      <c r="I1754" s="1709" t="s">
        <v>618</v>
      </c>
      <c r="J1754" s="1709" t="s">
        <v>5293</v>
      </c>
    </row>
    <row r="1755" spans="8:10">
      <c r="H1755" s="1596" t="s">
        <v>5294</v>
      </c>
      <c r="I1755" s="1709" t="s">
        <v>618</v>
      </c>
      <c r="J1755" s="1709" t="s">
        <v>5295</v>
      </c>
    </row>
    <row r="1756" spans="8:10">
      <c r="H1756" s="1596" t="s">
        <v>5296</v>
      </c>
      <c r="I1756" s="1709" t="s">
        <v>618</v>
      </c>
      <c r="J1756" s="1709" t="s">
        <v>5297</v>
      </c>
    </row>
    <row r="1757" spans="8:10">
      <c r="H1757" s="1596" t="s">
        <v>5298</v>
      </c>
      <c r="I1757" s="1709" t="s">
        <v>618</v>
      </c>
      <c r="J1757" s="1709" t="s">
        <v>5299</v>
      </c>
    </row>
    <row r="1758" spans="8:10">
      <c r="H1758" s="1596" t="s">
        <v>5300</v>
      </c>
      <c r="I1758" s="1709" t="s">
        <v>618</v>
      </c>
      <c r="J1758" s="1709" t="s">
        <v>5301</v>
      </c>
    </row>
    <row r="1759" spans="8:10">
      <c r="H1759" s="1596" t="s">
        <v>5302</v>
      </c>
      <c r="I1759" s="1709" t="s">
        <v>618</v>
      </c>
      <c r="J1759" s="1709" t="s">
        <v>5303</v>
      </c>
    </row>
    <row r="1760" spans="8:10">
      <c r="H1760" s="1596" t="s">
        <v>5304</v>
      </c>
      <c r="I1760" s="1709" t="s">
        <v>618</v>
      </c>
      <c r="J1760" s="1709" t="s">
        <v>5305</v>
      </c>
    </row>
    <row r="1761" spans="8:12">
      <c r="H1761" s="1596" t="s">
        <v>5306</v>
      </c>
      <c r="I1761" s="1709" t="s">
        <v>618</v>
      </c>
      <c r="J1761" s="1709" t="s">
        <v>5307</v>
      </c>
    </row>
    <row r="1762" spans="8:12">
      <c r="H1762" s="1596" t="s">
        <v>5308</v>
      </c>
      <c r="I1762" s="1709" t="s">
        <v>618</v>
      </c>
      <c r="J1762" s="1709" t="s">
        <v>5309</v>
      </c>
    </row>
    <row r="1763" spans="8:12">
      <c r="H1763" s="1596" t="s">
        <v>5310</v>
      </c>
      <c r="I1763" s="1709" t="s">
        <v>618</v>
      </c>
      <c r="J1763" s="1709" t="s">
        <v>5311</v>
      </c>
    </row>
    <row r="1764" spans="8:12">
      <c r="H1764" s="1596" t="s">
        <v>5312</v>
      </c>
      <c r="I1764" s="1709" t="s">
        <v>618</v>
      </c>
      <c r="J1764" s="1709" t="s">
        <v>5313</v>
      </c>
    </row>
    <row r="1765" spans="8:12">
      <c r="H1765" s="1596" t="s">
        <v>5314</v>
      </c>
      <c r="I1765" s="1709" t="s">
        <v>618</v>
      </c>
      <c r="J1765" s="1709" t="s">
        <v>5315</v>
      </c>
    </row>
    <row r="1766" spans="8:12">
      <c r="H1766" s="1596" t="s">
        <v>5316</v>
      </c>
      <c r="I1766" s="1709" t="s">
        <v>618</v>
      </c>
      <c r="J1766" s="1709" t="s">
        <v>5317</v>
      </c>
    </row>
    <row r="1767" spans="8:12">
      <c r="H1767" s="1596" t="s">
        <v>5318</v>
      </c>
      <c r="I1767" s="1709" t="s">
        <v>618</v>
      </c>
      <c r="J1767" s="1709" t="s">
        <v>5319</v>
      </c>
    </row>
    <row r="1768" spans="8:12">
      <c r="H1768" s="1596" t="s">
        <v>5320</v>
      </c>
      <c r="I1768" s="1709" t="s">
        <v>618</v>
      </c>
      <c r="J1768" s="1709" t="s">
        <v>5321</v>
      </c>
    </row>
    <row r="1769" spans="8:12">
      <c r="H1769" s="1596" t="s">
        <v>5322</v>
      </c>
      <c r="I1769" s="1709" t="s">
        <v>618</v>
      </c>
      <c r="J1769" s="1709" t="s">
        <v>5323</v>
      </c>
    </row>
    <row r="1770" spans="8:12">
      <c r="H1770" s="1596" t="s">
        <v>5324</v>
      </c>
      <c r="I1770" s="1709" t="s">
        <v>618</v>
      </c>
      <c r="J1770" s="1709" t="s">
        <v>5325</v>
      </c>
    </row>
    <row r="1771" spans="8:12">
      <c r="H1771" s="1596" t="s">
        <v>5326</v>
      </c>
      <c r="I1771" s="1709" t="s">
        <v>618</v>
      </c>
      <c r="J1771" s="1709" t="s">
        <v>5327</v>
      </c>
    </row>
    <row r="1772" spans="8:12">
      <c r="H1772" s="1596" t="s">
        <v>5328</v>
      </c>
      <c r="I1772" s="1709" t="s">
        <v>618</v>
      </c>
      <c r="J1772" s="1709" t="s">
        <v>5329</v>
      </c>
    </row>
    <row r="1773" spans="8:12">
      <c r="H1773" s="1596" t="s">
        <v>5330</v>
      </c>
      <c r="I1773" s="1709" t="s">
        <v>618</v>
      </c>
      <c r="J1773" s="1709" t="s">
        <v>5331</v>
      </c>
    </row>
    <row r="1774" spans="8:12">
      <c r="H1774" s="1596" t="s">
        <v>5631</v>
      </c>
      <c r="I1774" s="1709" t="s">
        <v>619</v>
      </c>
      <c r="K1774" s="1709">
        <f>ROW()</f>
        <v>1774</v>
      </c>
      <c r="L1774" s="1709">
        <f>K1774+COUNTIF($I$118:$I$1905,I1774)-1</f>
        <v>1792</v>
      </c>
    </row>
    <row r="1775" spans="8:12">
      <c r="H1775" s="1596" t="s">
        <v>1381</v>
      </c>
      <c r="I1775" s="1709" t="s">
        <v>619</v>
      </c>
      <c r="J1775" s="1709" t="s">
        <v>1502</v>
      </c>
    </row>
    <row r="1776" spans="8:12">
      <c r="H1776" s="1596" t="s">
        <v>5332</v>
      </c>
      <c r="I1776" s="1709" t="s">
        <v>619</v>
      </c>
      <c r="J1776" s="1709" t="s">
        <v>5333</v>
      </c>
    </row>
    <row r="1777" spans="8:10">
      <c r="H1777" s="1596" t="s">
        <v>5334</v>
      </c>
      <c r="I1777" s="1709" t="s">
        <v>619</v>
      </c>
      <c r="J1777" s="1709" t="s">
        <v>5335</v>
      </c>
    </row>
    <row r="1778" spans="8:10">
      <c r="H1778" s="1596" t="s">
        <v>5336</v>
      </c>
      <c r="I1778" s="1709" t="s">
        <v>619</v>
      </c>
      <c r="J1778" s="1709" t="s">
        <v>5337</v>
      </c>
    </row>
    <row r="1779" spans="8:10">
      <c r="H1779" s="1596" t="s">
        <v>5338</v>
      </c>
      <c r="I1779" s="1709" t="s">
        <v>619</v>
      </c>
      <c r="J1779" s="1709" t="s">
        <v>5339</v>
      </c>
    </row>
    <row r="1780" spans="8:10">
      <c r="H1780" s="1596" t="s">
        <v>5340</v>
      </c>
      <c r="I1780" s="1709" t="s">
        <v>619</v>
      </c>
      <c r="J1780" s="1709" t="s">
        <v>5341</v>
      </c>
    </row>
    <row r="1781" spans="8:10">
      <c r="H1781" s="1596" t="s">
        <v>5342</v>
      </c>
      <c r="I1781" s="1709" t="s">
        <v>619</v>
      </c>
      <c r="J1781" s="1709" t="s">
        <v>5343</v>
      </c>
    </row>
    <row r="1782" spans="8:10">
      <c r="H1782" s="1596" t="s">
        <v>5344</v>
      </c>
      <c r="I1782" s="1709" t="s">
        <v>619</v>
      </c>
      <c r="J1782" s="1709" t="s">
        <v>5345</v>
      </c>
    </row>
    <row r="1783" spans="8:10">
      <c r="H1783" s="1596" t="s">
        <v>5346</v>
      </c>
      <c r="I1783" s="1709" t="s">
        <v>619</v>
      </c>
      <c r="J1783" s="1709" t="s">
        <v>5347</v>
      </c>
    </row>
    <row r="1784" spans="8:10">
      <c r="H1784" s="1596" t="s">
        <v>5348</v>
      </c>
      <c r="I1784" s="1709" t="s">
        <v>619</v>
      </c>
      <c r="J1784" s="1709" t="s">
        <v>5349</v>
      </c>
    </row>
    <row r="1785" spans="8:10">
      <c r="H1785" s="1596" t="s">
        <v>5350</v>
      </c>
      <c r="I1785" s="1709" t="s">
        <v>619</v>
      </c>
      <c r="J1785" s="1709" t="s">
        <v>5351</v>
      </c>
    </row>
    <row r="1786" spans="8:10">
      <c r="H1786" s="1596" t="s">
        <v>5352</v>
      </c>
      <c r="I1786" s="1709" t="s">
        <v>619</v>
      </c>
      <c r="J1786" s="1709" t="s">
        <v>5353</v>
      </c>
    </row>
    <row r="1787" spans="8:10">
      <c r="H1787" s="1596" t="s">
        <v>5354</v>
      </c>
      <c r="I1787" s="1709" t="s">
        <v>619</v>
      </c>
      <c r="J1787" s="1709" t="s">
        <v>5355</v>
      </c>
    </row>
    <row r="1788" spans="8:10">
      <c r="H1788" s="1596" t="s">
        <v>5356</v>
      </c>
      <c r="I1788" s="1709" t="s">
        <v>619</v>
      </c>
      <c r="J1788" s="1709" t="s">
        <v>5357</v>
      </c>
    </row>
    <row r="1789" spans="8:10">
      <c r="H1789" s="1596" t="s">
        <v>5358</v>
      </c>
      <c r="I1789" s="1709" t="s">
        <v>619</v>
      </c>
      <c r="J1789" s="1709" t="s">
        <v>5359</v>
      </c>
    </row>
    <row r="1790" spans="8:10">
      <c r="H1790" s="1596" t="s">
        <v>5360</v>
      </c>
      <c r="I1790" s="1709" t="s">
        <v>619</v>
      </c>
      <c r="J1790" s="1709" t="s">
        <v>5361</v>
      </c>
    </row>
    <row r="1791" spans="8:10">
      <c r="H1791" s="1596" t="s">
        <v>5362</v>
      </c>
      <c r="I1791" s="1709" t="s">
        <v>619</v>
      </c>
      <c r="J1791" s="1709" t="s">
        <v>5363</v>
      </c>
    </row>
    <row r="1792" spans="8:10">
      <c r="H1792" s="1596" t="s">
        <v>5364</v>
      </c>
      <c r="I1792" s="1709" t="s">
        <v>619</v>
      </c>
      <c r="J1792" s="1709" t="s">
        <v>5365</v>
      </c>
    </row>
    <row r="1793" spans="8:12">
      <c r="H1793" s="1596" t="s">
        <v>5632</v>
      </c>
      <c r="I1793" s="1709" t="s">
        <v>620</v>
      </c>
      <c r="K1793" s="1709">
        <f>ROW()</f>
        <v>1793</v>
      </c>
      <c r="L1793" s="1709">
        <f>K1793+COUNTIF($I$118:$I$1905,I1793)-1</f>
        <v>1819</v>
      </c>
    </row>
    <row r="1794" spans="8:12">
      <c r="H1794" s="1596" t="s">
        <v>1382</v>
      </c>
      <c r="I1794" s="1709" t="s">
        <v>620</v>
      </c>
      <c r="J1794" s="1709" t="s">
        <v>1503</v>
      </c>
    </row>
    <row r="1795" spans="8:12">
      <c r="H1795" s="1596" t="s">
        <v>5366</v>
      </c>
      <c r="I1795" s="1709" t="s">
        <v>620</v>
      </c>
      <c r="J1795" s="1709" t="s">
        <v>5367</v>
      </c>
    </row>
    <row r="1796" spans="8:12">
      <c r="H1796" s="1596" t="s">
        <v>5368</v>
      </c>
      <c r="I1796" s="1709" t="s">
        <v>620</v>
      </c>
      <c r="J1796" s="1709" t="s">
        <v>5369</v>
      </c>
    </row>
    <row r="1797" spans="8:12">
      <c r="H1797" s="1596" t="s">
        <v>5370</v>
      </c>
      <c r="I1797" s="1709" t="s">
        <v>620</v>
      </c>
      <c r="J1797" s="1709" t="s">
        <v>5371</v>
      </c>
    </row>
    <row r="1798" spans="8:12">
      <c r="H1798" s="1596" t="s">
        <v>5372</v>
      </c>
      <c r="I1798" s="1709" t="s">
        <v>620</v>
      </c>
      <c r="J1798" s="1709" t="s">
        <v>5373</v>
      </c>
    </row>
    <row r="1799" spans="8:12">
      <c r="H1799" s="1596" t="s">
        <v>5374</v>
      </c>
      <c r="I1799" s="1709" t="s">
        <v>620</v>
      </c>
      <c r="J1799" s="1709" t="s">
        <v>5375</v>
      </c>
    </row>
    <row r="1800" spans="8:12">
      <c r="H1800" s="1596" t="s">
        <v>5376</v>
      </c>
      <c r="I1800" s="1709" t="s">
        <v>620</v>
      </c>
      <c r="J1800" s="1709" t="s">
        <v>5377</v>
      </c>
    </row>
    <row r="1801" spans="8:12">
      <c r="H1801" s="1596" t="s">
        <v>5378</v>
      </c>
      <c r="I1801" s="1709" t="s">
        <v>620</v>
      </c>
      <c r="J1801" s="1709" t="s">
        <v>5379</v>
      </c>
    </row>
    <row r="1802" spans="8:12">
      <c r="H1802" s="1596" t="s">
        <v>5380</v>
      </c>
      <c r="I1802" s="1709" t="s">
        <v>620</v>
      </c>
      <c r="J1802" s="1709" t="s">
        <v>5381</v>
      </c>
    </row>
    <row r="1803" spans="8:12">
      <c r="H1803" s="1596" t="s">
        <v>5382</v>
      </c>
      <c r="I1803" s="1709" t="s">
        <v>620</v>
      </c>
      <c r="J1803" s="1709" t="s">
        <v>5383</v>
      </c>
    </row>
    <row r="1804" spans="8:12">
      <c r="H1804" s="1596" t="s">
        <v>5384</v>
      </c>
      <c r="I1804" s="1709" t="s">
        <v>620</v>
      </c>
      <c r="J1804" s="1709" t="s">
        <v>5385</v>
      </c>
    </row>
    <row r="1805" spans="8:12">
      <c r="H1805" s="1596" t="s">
        <v>5386</v>
      </c>
      <c r="I1805" s="1709" t="s">
        <v>620</v>
      </c>
      <c r="J1805" s="1709" t="s">
        <v>5387</v>
      </c>
    </row>
    <row r="1806" spans="8:12">
      <c r="H1806" s="1596" t="s">
        <v>5388</v>
      </c>
      <c r="I1806" s="1709" t="s">
        <v>620</v>
      </c>
      <c r="J1806" s="1709" t="s">
        <v>5389</v>
      </c>
    </row>
    <row r="1807" spans="8:12">
      <c r="H1807" s="1596" t="s">
        <v>5390</v>
      </c>
      <c r="I1807" s="1709" t="s">
        <v>620</v>
      </c>
      <c r="J1807" s="1709" t="s">
        <v>5391</v>
      </c>
    </row>
    <row r="1808" spans="8:12">
      <c r="H1808" s="1596" t="s">
        <v>5392</v>
      </c>
      <c r="I1808" s="1709" t="s">
        <v>620</v>
      </c>
      <c r="J1808" s="1709" t="s">
        <v>5393</v>
      </c>
    </row>
    <row r="1809" spans="8:12">
      <c r="H1809" s="1596" t="s">
        <v>5394</v>
      </c>
      <c r="I1809" s="1709" t="s">
        <v>620</v>
      </c>
      <c r="J1809" s="1709" t="s">
        <v>5395</v>
      </c>
    </row>
    <row r="1810" spans="8:12">
      <c r="H1810" s="1596" t="s">
        <v>5396</v>
      </c>
      <c r="I1810" s="1709" t="s">
        <v>620</v>
      </c>
      <c r="J1810" s="1709" t="s">
        <v>5397</v>
      </c>
    </row>
    <row r="1811" spans="8:12">
      <c r="H1811" s="1596" t="s">
        <v>5398</v>
      </c>
      <c r="I1811" s="1709" t="s">
        <v>620</v>
      </c>
      <c r="J1811" s="1709" t="s">
        <v>5399</v>
      </c>
    </row>
    <row r="1812" spans="8:12">
      <c r="H1812" s="1596" t="s">
        <v>5400</v>
      </c>
      <c r="I1812" s="1709" t="s">
        <v>620</v>
      </c>
      <c r="J1812" s="1709" t="s">
        <v>5401</v>
      </c>
    </row>
    <row r="1813" spans="8:12">
      <c r="H1813" s="1596" t="s">
        <v>5402</v>
      </c>
      <c r="I1813" s="1709" t="s">
        <v>620</v>
      </c>
      <c r="J1813" s="1709" t="s">
        <v>5403</v>
      </c>
    </row>
    <row r="1814" spans="8:12">
      <c r="H1814" s="1596" t="s">
        <v>5404</v>
      </c>
      <c r="I1814" s="1709" t="s">
        <v>620</v>
      </c>
      <c r="J1814" s="1709" t="s">
        <v>5405</v>
      </c>
    </row>
    <row r="1815" spans="8:12">
      <c r="H1815" s="1596" t="s">
        <v>5406</v>
      </c>
      <c r="I1815" s="1709" t="s">
        <v>620</v>
      </c>
      <c r="J1815" s="1709" t="s">
        <v>5407</v>
      </c>
    </row>
    <row r="1816" spans="8:12">
      <c r="H1816" s="1596" t="s">
        <v>5408</v>
      </c>
      <c r="I1816" s="1709" t="s">
        <v>620</v>
      </c>
      <c r="J1816" s="1709" t="s">
        <v>2978</v>
      </c>
    </row>
    <row r="1817" spans="8:12">
      <c r="H1817" s="1596" t="s">
        <v>5409</v>
      </c>
      <c r="I1817" s="1709" t="s">
        <v>620</v>
      </c>
      <c r="J1817" s="1709" t="s">
        <v>5410</v>
      </c>
    </row>
    <row r="1818" spans="8:12">
      <c r="H1818" s="1596" t="s">
        <v>5411</v>
      </c>
      <c r="I1818" s="1709" t="s">
        <v>620</v>
      </c>
      <c r="J1818" s="1709" t="s">
        <v>5412</v>
      </c>
    </row>
    <row r="1819" spans="8:12">
      <c r="H1819" s="1596" t="s">
        <v>5413</v>
      </c>
      <c r="I1819" s="1709" t="s">
        <v>620</v>
      </c>
      <c r="J1819" s="1709" t="s">
        <v>5414</v>
      </c>
    </row>
    <row r="1820" spans="8:12">
      <c r="H1820" s="1596" t="s">
        <v>5633</v>
      </c>
      <c r="I1820" s="1709" t="s">
        <v>621</v>
      </c>
      <c r="K1820" s="1709">
        <f>ROW()</f>
        <v>1820</v>
      </c>
      <c r="L1820" s="1709">
        <f>K1820+COUNTIF($I$118:$I$1905,I1820)-1</f>
        <v>1863</v>
      </c>
    </row>
    <row r="1821" spans="8:12">
      <c r="H1821" s="1596" t="s">
        <v>1383</v>
      </c>
      <c r="I1821" s="1709" t="s">
        <v>621</v>
      </c>
      <c r="J1821" s="1709" t="s">
        <v>1504</v>
      </c>
    </row>
    <row r="1822" spans="8:12">
      <c r="H1822" s="1596" t="s">
        <v>5415</v>
      </c>
      <c r="I1822" s="1709" t="s">
        <v>621</v>
      </c>
      <c r="J1822" s="1709" t="s">
        <v>5416</v>
      </c>
    </row>
    <row r="1823" spans="8:12">
      <c r="H1823" s="1596" t="s">
        <v>5417</v>
      </c>
      <c r="I1823" s="1709" t="s">
        <v>621</v>
      </c>
      <c r="J1823" s="1709" t="s">
        <v>5418</v>
      </c>
    </row>
    <row r="1824" spans="8:12">
      <c r="H1824" s="1596" t="s">
        <v>5419</v>
      </c>
      <c r="I1824" s="1709" t="s">
        <v>621</v>
      </c>
      <c r="J1824" s="1709" t="s">
        <v>5420</v>
      </c>
    </row>
    <row r="1825" spans="8:10">
      <c r="H1825" s="1596" t="s">
        <v>5421</v>
      </c>
      <c r="I1825" s="1709" t="s">
        <v>621</v>
      </c>
      <c r="J1825" s="1709" t="s">
        <v>5422</v>
      </c>
    </row>
    <row r="1826" spans="8:10">
      <c r="H1826" s="1596" t="s">
        <v>5423</v>
      </c>
      <c r="I1826" s="1709" t="s">
        <v>621</v>
      </c>
      <c r="J1826" s="1709" t="s">
        <v>5424</v>
      </c>
    </row>
    <row r="1827" spans="8:10">
      <c r="H1827" s="1596" t="s">
        <v>5425</v>
      </c>
      <c r="I1827" s="1709" t="s">
        <v>621</v>
      </c>
      <c r="J1827" s="1709" t="s">
        <v>5426</v>
      </c>
    </row>
    <row r="1828" spans="8:10">
      <c r="H1828" s="1596" t="s">
        <v>5427</v>
      </c>
      <c r="I1828" s="1709" t="s">
        <v>621</v>
      </c>
      <c r="J1828" s="1709" t="s">
        <v>5428</v>
      </c>
    </row>
    <row r="1829" spans="8:10">
      <c r="H1829" s="1596" t="s">
        <v>5429</v>
      </c>
      <c r="I1829" s="1709" t="s">
        <v>621</v>
      </c>
      <c r="J1829" s="1709" t="s">
        <v>5430</v>
      </c>
    </row>
    <row r="1830" spans="8:10">
      <c r="H1830" s="1596" t="s">
        <v>5431</v>
      </c>
      <c r="I1830" s="1709" t="s">
        <v>621</v>
      </c>
      <c r="J1830" s="1709" t="s">
        <v>5432</v>
      </c>
    </row>
    <row r="1831" spans="8:10">
      <c r="H1831" s="1596" t="s">
        <v>5433</v>
      </c>
      <c r="I1831" s="1709" t="s">
        <v>621</v>
      </c>
      <c r="J1831" s="1709" t="s">
        <v>5434</v>
      </c>
    </row>
    <row r="1832" spans="8:10">
      <c r="H1832" s="1596" t="s">
        <v>5435</v>
      </c>
      <c r="I1832" s="1709" t="s">
        <v>621</v>
      </c>
      <c r="J1832" s="1709" t="s">
        <v>5436</v>
      </c>
    </row>
    <row r="1833" spans="8:10">
      <c r="H1833" s="1596" t="s">
        <v>5437</v>
      </c>
      <c r="I1833" s="1709" t="s">
        <v>621</v>
      </c>
      <c r="J1833" s="1709" t="s">
        <v>5438</v>
      </c>
    </row>
    <row r="1834" spans="8:10">
      <c r="H1834" s="1596" t="s">
        <v>5439</v>
      </c>
      <c r="I1834" s="1709" t="s">
        <v>621</v>
      </c>
      <c r="J1834" s="1709" t="s">
        <v>5440</v>
      </c>
    </row>
    <row r="1835" spans="8:10">
      <c r="H1835" s="1596" t="s">
        <v>5441</v>
      </c>
      <c r="I1835" s="1709" t="s">
        <v>621</v>
      </c>
      <c r="J1835" s="1709" t="s">
        <v>5442</v>
      </c>
    </row>
    <row r="1836" spans="8:10">
      <c r="H1836" s="1596" t="s">
        <v>5443</v>
      </c>
      <c r="I1836" s="1709" t="s">
        <v>621</v>
      </c>
      <c r="J1836" s="1709" t="s">
        <v>5444</v>
      </c>
    </row>
    <row r="1837" spans="8:10">
      <c r="H1837" s="1596" t="s">
        <v>5445</v>
      </c>
      <c r="I1837" s="1709" t="s">
        <v>621</v>
      </c>
      <c r="J1837" s="1709" t="s">
        <v>5446</v>
      </c>
    </row>
    <row r="1838" spans="8:10">
      <c r="H1838" s="1596" t="s">
        <v>5447</v>
      </c>
      <c r="I1838" s="1709" t="s">
        <v>621</v>
      </c>
      <c r="J1838" s="1709" t="s">
        <v>5448</v>
      </c>
    </row>
    <row r="1839" spans="8:10">
      <c r="H1839" s="1596" t="s">
        <v>5449</v>
      </c>
      <c r="I1839" s="1709" t="s">
        <v>621</v>
      </c>
      <c r="J1839" s="1709" t="s">
        <v>5450</v>
      </c>
    </row>
    <row r="1840" spans="8:10">
      <c r="H1840" s="1596" t="s">
        <v>5451</v>
      </c>
      <c r="I1840" s="1709" t="s">
        <v>621</v>
      </c>
      <c r="J1840" s="1709" t="s">
        <v>5452</v>
      </c>
    </row>
    <row r="1841" spans="8:10">
      <c r="H1841" s="1596" t="s">
        <v>5453</v>
      </c>
      <c r="I1841" s="1709" t="s">
        <v>621</v>
      </c>
      <c r="J1841" s="1709" t="s">
        <v>5454</v>
      </c>
    </row>
    <row r="1842" spans="8:10">
      <c r="H1842" s="1596" t="s">
        <v>5455</v>
      </c>
      <c r="I1842" s="1709" t="s">
        <v>621</v>
      </c>
      <c r="J1842" s="1709" t="s">
        <v>5456</v>
      </c>
    </row>
    <row r="1843" spans="8:10">
      <c r="H1843" s="1596" t="s">
        <v>5457</v>
      </c>
      <c r="I1843" s="1709" t="s">
        <v>621</v>
      </c>
      <c r="J1843" s="1709" t="s">
        <v>5458</v>
      </c>
    </row>
    <row r="1844" spans="8:10">
      <c r="H1844" s="1596" t="s">
        <v>5459</v>
      </c>
      <c r="I1844" s="1709" t="s">
        <v>621</v>
      </c>
      <c r="J1844" s="1709" t="s">
        <v>5460</v>
      </c>
    </row>
    <row r="1845" spans="8:10">
      <c r="H1845" s="1596" t="s">
        <v>5461</v>
      </c>
      <c r="I1845" s="1709" t="s">
        <v>621</v>
      </c>
      <c r="J1845" s="1709" t="s">
        <v>5462</v>
      </c>
    </row>
    <row r="1846" spans="8:10">
      <c r="H1846" s="1596" t="s">
        <v>5463</v>
      </c>
      <c r="I1846" s="1709" t="s">
        <v>621</v>
      </c>
      <c r="J1846" s="1709" t="s">
        <v>5464</v>
      </c>
    </row>
    <row r="1847" spans="8:10">
      <c r="H1847" s="1596" t="s">
        <v>5465</v>
      </c>
      <c r="I1847" s="1709" t="s">
        <v>621</v>
      </c>
      <c r="J1847" s="1709" t="s">
        <v>5466</v>
      </c>
    </row>
    <row r="1848" spans="8:10">
      <c r="H1848" s="1596" t="s">
        <v>5467</v>
      </c>
      <c r="I1848" s="1709" t="s">
        <v>621</v>
      </c>
      <c r="J1848" s="1709" t="s">
        <v>5468</v>
      </c>
    </row>
    <row r="1849" spans="8:10">
      <c r="H1849" s="1596" t="s">
        <v>5469</v>
      </c>
      <c r="I1849" s="1709" t="s">
        <v>621</v>
      </c>
      <c r="J1849" s="1709" t="s">
        <v>5470</v>
      </c>
    </row>
    <row r="1850" spans="8:10">
      <c r="H1850" s="1596" t="s">
        <v>5471</v>
      </c>
      <c r="I1850" s="1709" t="s">
        <v>621</v>
      </c>
      <c r="J1850" s="1709" t="s">
        <v>5472</v>
      </c>
    </row>
    <row r="1851" spans="8:10">
      <c r="H1851" s="1596" t="s">
        <v>5473</v>
      </c>
      <c r="I1851" s="1709" t="s">
        <v>621</v>
      </c>
      <c r="J1851" s="1709" t="s">
        <v>5474</v>
      </c>
    </row>
    <row r="1852" spans="8:10">
      <c r="H1852" s="1596" t="s">
        <v>5475</v>
      </c>
      <c r="I1852" s="1709" t="s">
        <v>621</v>
      </c>
      <c r="J1852" s="1709" t="s">
        <v>5476</v>
      </c>
    </row>
    <row r="1853" spans="8:10">
      <c r="H1853" s="1596" t="s">
        <v>5477</v>
      </c>
      <c r="I1853" s="1709" t="s">
        <v>621</v>
      </c>
      <c r="J1853" s="1709" t="s">
        <v>5478</v>
      </c>
    </row>
    <row r="1854" spans="8:10">
      <c r="H1854" s="1596" t="s">
        <v>5479</v>
      </c>
      <c r="I1854" s="1709" t="s">
        <v>621</v>
      </c>
      <c r="J1854" s="1709" t="s">
        <v>5480</v>
      </c>
    </row>
    <row r="1855" spans="8:10">
      <c r="H1855" s="1596" t="s">
        <v>5481</v>
      </c>
      <c r="I1855" s="1709" t="s">
        <v>621</v>
      </c>
      <c r="J1855" s="1709" t="s">
        <v>5482</v>
      </c>
    </row>
    <row r="1856" spans="8:10">
      <c r="H1856" s="1596" t="s">
        <v>5483</v>
      </c>
      <c r="I1856" s="1709" t="s">
        <v>621</v>
      </c>
      <c r="J1856" s="1709" t="s">
        <v>5484</v>
      </c>
    </row>
    <row r="1857" spans="8:12">
      <c r="H1857" s="1596" t="s">
        <v>5485</v>
      </c>
      <c r="I1857" s="1709" t="s">
        <v>621</v>
      </c>
      <c r="J1857" s="1709" t="s">
        <v>5486</v>
      </c>
    </row>
    <row r="1858" spans="8:12">
      <c r="H1858" s="1596" t="s">
        <v>5487</v>
      </c>
      <c r="I1858" s="1709" t="s">
        <v>621</v>
      </c>
      <c r="J1858" s="1709" t="s">
        <v>5488</v>
      </c>
    </row>
    <row r="1859" spans="8:12">
      <c r="H1859" s="1596" t="s">
        <v>5489</v>
      </c>
      <c r="I1859" s="1709" t="s">
        <v>621</v>
      </c>
      <c r="J1859" s="1709" t="s">
        <v>5490</v>
      </c>
    </row>
    <row r="1860" spans="8:12">
      <c r="H1860" s="1596" t="s">
        <v>5491</v>
      </c>
      <c r="I1860" s="1709" t="s">
        <v>621</v>
      </c>
      <c r="J1860" s="1709" t="s">
        <v>5492</v>
      </c>
    </row>
    <row r="1861" spans="8:12">
      <c r="H1861" s="1596" t="s">
        <v>5493</v>
      </c>
      <c r="I1861" s="1709" t="s">
        <v>621</v>
      </c>
      <c r="J1861" s="1709" t="s">
        <v>5494</v>
      </c>
    </row>
    <row r="1862" spans="8:12">
      <c r="H1862" s="1596" t="s">
        <v>5495</v>
      </c>
      <c r="I1862" s="1709" t="s">
        <v>621</v>
      </c>
      <c r="J1862" s="1709" t="s">
        <v>5496</v>
      </c>
    </row>
    <row r="1863" spans="8:12">
      <c r="H1863" s="1596" t="s">
        <v>5497</v>
      </c>
      <c r="I1863" s="1709" t="s">
        <v>621</v>
      </c>
      <c r="J1863" s="1709" t="s">
        <v>5498</v>
      </c>
    </row>
    <row r="1864" spans="8:12">
      <c r="H1864" s="1596" t="s">
        <v>5634</v>
      </c>
      <c r="I1864" s="1709" t="s">
        <v>5499</v>
      </c>
      <c r="K1864" s="1709">
        <f>ROW()</f>
        <v>1864</v>
      </c>
      <c r="L1864" s="1709">
        <f>K1864+COUNTIF($I$118:$I$1905,I1864)-1</f>
        <v>1905</v>
      </c>
    </row>
    <row r="1865" spans="8:12">
      <c r="H1865" s="1596" t="s">
        <v>1386</v>
      </c>
      <c r="I1865" s="1709" t="s">
        <v>5499</v>
      </c>
      <c r="J1865" s="1709" t="s">
        <v>1507</v>
      </c>
    </row>
    <row r="1866" spans="8:12">
      <c r="H1866" s="1596" t="s">
        <v>5500</v>
      </c>
      <c r="I1866" s="1709" t="s">
        <v>5499</v>
      </c>
      <c r="J1866" s="1709" t="s">
        <v>5501</v>
      </c>
    </row>
    <row r="1867" spans="8:12">
      <c r="H1867" s="1596" t="s">
        <v>5502</v>
      </c>
      <c r="I1867" s="1709" t="s">
        <v>5499</v>
      </c>
      <c r="J1867" s="1709" t="s">
        <v>5503</v>
      </c>
    </row>
    <row r="1868" spans="8:12">
      <c r="H1868" s="1596" t="s">
        <v>5504</v>
      </c>
      <c r="I1868" s="1709" t="s">
        <v>5499</v>
      </c>
      <c r="J1868" s="1709" t="s">
        <v>5505</v>
      </c>
    </row>
    <row r="1869" spans="8:12">
      <c r="H1869" s="1596" t="s">
        <v>5506</v>
      </c>
      <c r="I1869" s="1709" t="s">
        <v>5499</v>
      </c>
      <c r="J1869" s="1709" t="s">
        <v>5507</v>
      </c>
    </row>
    <row r="1870" spans="8:12">
      <c r="H1870" s="1596" t="s">
        <v>5508</v>
      </c>
      <c r="I1870" s="1709" t="s">
        <v>5499</v>
      </c>
      <c r="J1870" s="1709" t="s">
        <v>5509</v>
      </c>
    </row>
    <row r="1871" spans="8:12">
      <c r="H1871" s="1596" t="s">
        <v>5510</v>
      </c>
      <c r="I1871" s="1709" t="s">
        <v>5499</v>
      </c>
      <c r="J1871" s="1709" t="s">
        <v>5511</v>
      </c>
    </row>
    <row r="1872" spans="8:12">
      <c r="H1872" s="1596" t="s">
        <v>5512</v>
      </c>
      <c r="I1872" s="1709" t="s">
        <v>5499</v>
      </c>
      <c r="J1872" s="1709" t="s">
        <v>5513</v>
      </c>
    </row>
    <row r="1873" spans="8:10">
      <c r="H1873" s="1596" t="s">
        <v>5514</v>
      </c>
      <c r="I1873" s="1709" t="s">
        <v>5499</v>
      </c>
      <c r="J1873" s="1709" t="s">
        <v>5515</v>
      </c>
    </row>
    <row r="1874" spans="8:10">
      <c r="H1874" s="1596" t="s">
        <v>5516</v>
      </c>
      <c r="I1874" s="1709" t="s">
        <v>5499</v>
      </c>
      <c r="J1874" s="1709" t="s">
        <v>5517</v>
      </c>
    </row>
    <row r="1875" spans="8:10">
      <c r="H1875" s="1596" t="s">
        <v>5518</v>
      </c>
      <c r="I1875" s="1709" t="s">
        <v>5499</v>
      </c>
      <c r="J1875" s="1709" t="s">
        <v>5519</v>
      </c>
    </row>
    <row r="1876" spans="8:10">
      <c r="H1876" s="1596" t="s">
        <v>5520</v>
      </c>
      <c r="I1876" s="1709" t="s">
        <v>5499</v>
      </c>
      <c r="J1876" s="1709" t="s">
        <v>5521</v>
      </c>
    </row>
    <row r="1877" spans="8:10">
      <c r="H1877" s="1596" t="s">
        <v>5522</v>
      </c>
      <c r="I1877" s="1709" t="s">
        <v>5499</v>
      </c>
      <c r="J1877" s="1709" t="s">
        <v>5523</v>
      </c>
    </row>
    <row r="1878" spans="8:10">
      <c r="H1878" s="1596" t="s">
        <v>5524</v>
      </c>
      <c r="I1878" s="1709" t="s">
        <v>5499</v>
      </c>
      <c r="J1878" s="1709" t="s">
        <v>5525</v>
      </c>
    </row>
    <row r="1879" spans="8:10">
      <c r="H1879" s="1596" t="s">
        <v>5526</v>
      </c>
      <c r="I1879" s="1709" t="s">
        <v>5499</v>
      </c>
      <c r="J1879" s="1709" t="s">
        <v>5527</v>
      </c>
    </row>
    <row r="1880" spans="8:10">
      <c r="H1880" s="1596" t="s">
        <v>5528</v>
      </c>
      <c r="I1880" s="1709" t="s">
        <v>5499</v>
      </c>
      <c r="J1880" s="1709" t="s">
        <v>5529</v>
      </c>
    </row>
    <row r="1881" spans="8:10">
      <c r="H1881" s="1596" t="s">
        <v>5530</v>
      </c>
      <c r="I1881" s="1709" t="s">
        <v>5499</v>
      </c>
      <c r="J1881" s="1709" t="s">
        <v>5531</v>
      </c>
    </row>
    <row r="1882" spans="8:10">
      <c r="H1882" s="1596" t="s">
        <v>5532</v>
      </c>
      <c r="I1882" s="1709" t="s">
        <v>5499</v>
      </c>
      <c r="J1882" s="1709" t="s">
        <v>5533</v>
      </c>
    </row>
    <row r="1883" spans="8:10">
      <c r="H1883" s="1596" t="s">
        <v>5534</v>
      </c>
      <c r="I1883" s="1709" t="s">
        <v>5499</v>
      </c>
      <c r="J1883" s="1709" t="s">
        <v>5535</v>
      </c>
    </row>
    <row r="1884" spans="8:10">
      <c r="H1884" s="1596" t="s">
        <v>5536</v>
      </c>
      <c r="I1884" s="1709" t="s">
        <v>5499</v>
      </c>
      <c r="J1884" s="1709" t="s">
        <v>5537</v>
      </c>
    </row>
    <row r="1885" spans="8:10">
      <c r="H1885" s="1596" t="s">
        <v>5538</v>
      </c>
      <c r="I1885" s="1709" t="s">
        <v>5499</v>
      </c>
      <c r="J1885" s="1709" t="s">
        <v>5539</v>
      </c>
    </row>
    <row r="1886" spans="8:10">
      <c r="H1886" s="1596" t="s">
        <v>5540</v>
      </c>
      <c r="I1886" s="1709" t="s">
        <v>5499</v>
      </c>
      <c r="J1886" s="1709" t="s">
        <v>5541</v>
      </c>
    </row>
    <row r="1887" spans="8:10">
      <c r="H1887" s="1596" t="s">
        <v>5542</v>
      </c>
      <c r="I1887" s="1709" t="s">
        <v>5499</v>
      </c>
      <c r="J1887" s="1709" t="s">
        <v>5543</v>
      </c>
    </row>
    <row r="1888" spans="8:10">
      <c r="H1888" s="1596" t="s">
        <v>5544</v>
      </c>
      <c r="I1888" s="1709" t="s">
        <v>5499</v>
      </c>
      <c r="J1888" s="1709" t="s">
        <v>5545</v>
      </c>
    </row>
    <row r="1889" spans="8:10">
      <c r="H1889" s="1596" t="s">
        <v>5546</v>
      </c>
      <c r="I1889" s="1709" t="s">
        <v>5499</v>
      </c>
      <c r="J1889" s="1709" t="s">
        <v>5547</v>
      </c>
    </row>
    <row r="1890" spans="8:10">
      <c r="H1890" s="1596" t="s">
        <v>5548</v>
      </c>
      <c r="I1890" s="1709" t="s">
        <v>5499</v>
      </c>
      <c r="J1890" s="1709" t="s">
        <v>5549</v>
      </c>
    </row>
    <row r="1891" spans="8:10">
      <c r="H1891" s="1596" t="s">
        <v>5550</v>
      </c>
      <c r="I1891" s="1709" t="s">
        <v>5499</v>
      </c>
      <c r="J1891" s="1709" t="s">
        <v>5551</v>
      </c>
    </row>
    <row r="1892" spans="8:10">
      <c r="H1892" s="1596" t="s">
        <v>5552</v>
      </c>
      <c r="I1892" s="1709" t="s">
        <v>5499</v>
      </c>
      <c r="J1892" s="1709" t="s">
        <v>5553</v>
      </c>
    </row>
    <row r="1893" spans="8:10">
      <c r="H1893" s="1596" t="s">
        <v>5554</v>
      </c>
      <c r="I1893" s="1709" t="s">
        <v>5499</v>
      </c>
      <c r="J1893" s="1709" t="s">
        <v>5555</v>
      </c>
    </row>
    <row r="1894" spans="8:10">
      <c r="H1894" s="1596" t="s">
        <v>5556</v>
      </c>
      <c r="I1894" s="1709" t="s">
        <v>5499</v>
      </c>
      <c r="J1894" s="1709" t="s">
        <v>5557</v>
      </c>
    </row>
    <row r="1895" spans="8:10">
      <c r="H1895" s="1596" t="s">
        <v>5558</v>
      </c>
      <c r="I1895" s="1709" t="s">
        <v>5499</v>
      </c>
      <c r="J1895" s="1709" t="s">
        <v>5559</v>
      </c>
    </row>
    <row r="1896" spans="8:10">
      <c r="H1896" s="1596" t="s">
        <v>5560</v>
      </c>
      <c r="I1896" s="1709" t="s">
        <v>5499</v>
      </c>
      <c r="J1896" s="1709" t="s">
        <v>5561</v>
      </c>
    </row>
    <row r="1897" spans="8:10">
      <c r="H1897" s="1596" t="s">
        <v>5562</v>
      </c>
      <c r="I1897" s="1709" t="s">
        <v>5499</v>
      </c>
      <c r="J1897" s="1709" t="s">
        <v>5563</v>
      </c>
    </row>
    <row r="1898" spans="8:10">
      <c r="H1898" s="1596" t="s">
        <v>5564</v>
      </c>
      <c r="I1898" s="1709" t="s">
        <v>5499</v>
      </c>
      <c r="J1898" s="1709" t="s">
        <v>5565</v>
      </c>
    </row>
    <row r="1899" spans="8:10">
      <c r="H1899" s="1596" t="s">
        <v>5566</v>
      </c>
      <c r="I1899" s="1709" t="s">
        <v>5499</v>
      </c>
      <c r="J1899" s="1709" t="s">
        <v>5567</v>
      </c>
    </row>
    <row r="1900" spans="8:10">
      <c r="H1900" s="1596" t="s">
        <v>5568</v>
      </c>
      <c r="I1900" s="1709" t="s">
        <v>5499</v>
      </c>
      <c r="J1900" s="1709" t="s">
        <v>5569</v>
      </c>
    </row>
    <row r="1901" spans="8:10">
      <c r="H1901" s="1596" t="s">
        <v>5570</v>
      </c>
      <c r="I1901" s="1709" t="s">
        <v>5499</v>
      </c>
      <c r="J1901" s="1709" t="s">
        <v>5571</v>
      </c>
    </row>
    <row r="1902" spans="8:10">
      <c r="H1902" s="1596" t="s">
        <v>5572</v>
      </c>
      <c r="I1902" s="1709" t="s">
        <v>5499</v>
      </c>
      <c r="J1902" s="1709" t="s">
        <v>5573</v>
      </c>
    </row>
    <row r="1903" spans="8:10">
      <c r="H1903" s="1596" t="s">
        <v>5574</v>
      </c>
      <c r="I1903" s="1709" t="s">
        <v>5499</v>
      </c>
      <c r="J1903" s="1709" t="s">
        <v>5575</v>
      </c>
    </row>
    <row r="1904" spans="8:10">
      <c r="H1904" s="1596" t="s">
        <v>5576</v>
      </c>
      <c r="I1904" s="1709" t="s">
        <v>5499</v>
      </c>
      <c r="J1904" s="1709" t="s">
        <v>5577</v>
      </c>
    </row>
    <row r="1905" spans="8:10">
      <c r="H1905" s="1596" t="s">
        <v>5578</v>
      </c>
      <c r="I1905" s="1709" t="s">
        <v>5499</v>
      </c>
      <c r="J1905" s="1709" t="s">
        <v>5579</v>
      </c>
    </row>
  </sheetData>
  <sheetProtection algorithmName="SHA-512" hashValue="QFeFV20YMrf2R2Cvr/BPtkNd7j7b7giaSivpy0OB+gJ9Kirhth9gXuqCl2CJ4NXNGWYPUqSyFHB5SkCYO/5sig==" saltValue="5lkvspCVDptD6SYLhulASA==" spinCount="100000" sheet="1" objects="1" scenarios="1"/>
  <mergeCells count="13">
    <mergeCell ref="G25:G27"/>
    <mergeCell ref="E3:F3"/>
    <mergeCell ref="D25:D27"/>
    <mergeCell ref="E25:E27"/>
    <mergeCell ref="F25:F27"/>
    <mergeCell ref="B3:D3"/>
    <mergeCell ref="C5:D5"/>
    <mergeCell ref="E72:E73"/>
    <mergeCell ref="E45:E46"/>
    <mergeCell ref="E48:E49"/>
    <mergeCell ref="E51:E52"/>
    <mergeCell ref="E66:E67"/>
    <mergeCell ref="E69:E70"/>
  </mergeCells>
  <phoneticPr fontId="69"/>
  <conditionalFormatting sqref="G42 G44:G52">
    <cfRule type="cellIs" dxfId="19" priority="7" stopIfTrue="1" operator="equal">
      <formula>"除雪工事補正の有無欄で「補正有り」を選択してください。"</formula>
    </cfRule>
    <cfRule type="cellIs" dxfId="18" priority="8" stopIfTrue="1" operator="equal">
      <formula>"国土交通省（建設）以外の場合は入力しないでください。"</formula>
    </cfRule>
  </conditionalFormatting>
  <conditionalFormatting sqref="G101">
    <cfRule type="cellIs" dxfId="17" priority="9" stopIfTrue="1" operator="equal">
      <formula>"仮設営繕物貸与・敷地貸与補正の有無欄で「補正有り」を選択してください。"</formula>
    </cfRule>
    <cfRule type="cellIs" dxfId="16" priority="10" stopIfTrue="1" operator="equal">
      <formula>"高速道路以外の場合は入力しないでください。"</formula>
    </cfRule>
  </conditionalFormatting>
  <conditionalFormatting sqref="G64:G73">
    <cfRule type="cellIs" dxfId="15" priority="5" stopIfTrue="1" operator="equal">
      <formula>"除雪工事補正の有無欄で「補正有り」を選択してください。"</formula>
    </cfRule>
    <cfRule type="cellIs" dxfId="14" priority="6" stopIfTrue="1" operator="equal">
      <formula>"国土交通省（建設）以外の場合は入力しないでください。"</formula>
    </cfRule>
  </conditionalFormatting>
  <conditionalFormatting sqref="C35:F35">
    <cfRule type="expression" dxfId="13" priority="2">
      <formula>$H$35=""</formula>
    </cfRule>
  </conditionalFormatting>
  <conditionalFormatting sqref="C36:F36">
    <cfRule type="expression" dxfId="12" priority="1">
      <formula>$H$36=""</formula>
    </cfRule>
  </conditionalFormatting>
  <dataValidations xWindow="651" yWindow="390" count="25">
    <dataValidation allowBlank="1" showInputMessage="1" showErrorMessage="1" promptTitle="地域特性コード" prompt="リストから選択してください。_x000a_マニュアル参照" sqref="F19" xr:uid="{00000000-0002-0000-0200-000000000000}"/>
    <dataValidation type="list" allowBlank="1" showInputMessage="1" showErrorMessage="1" promptTitle="工種コード" prompt="リストから選択してください。_x000a_マニュアル参照" sqref="F20" xr:uid="{00000000-0002-0000-0200-000001000000}">
      <formula1>工種</formula1>
    </dataValidation>
    <dataValidation type="list" allowBlank="1" showInputMessage="1" showErrorMessage="1" promptTitle="施工場所コード" prompt="リストから選択してください。_x000a_マニュアル参照" sqref="F21" xr:uid="{00000000-0002-0000-0200-000002000000}">
      <formula1>施工場所コード</formula1>
    </dataValidation>
    <dataValidation type="list" allowBlank="1" showInputMessage="1" showErrorMessage="1" sqref="F76 F85:F86" xr:uid="{00000000-0002-0000-0200-000003000000}">
      <formula1>情報共有システム_ＡＳＰのみ_使用の有無</formula1>
    </dataValidation>
    <dataValidation type="custom" allowBlank="1" showInputMessage="1" showErrorMessage="1" sqref="F10:F16 F5" xr:uid="{00000000-0002-0000-0200-000004000000}">
      <formula1>TRIM(F5)&lt;&gt;""</formula1>
    </dataValidation>
    <dataValidation type="custom" operator="greaterThanOrEqual" allowBlank="1" showInputMessage="1" showErrorMessage="1" sqref="F22:F23" xr:uid="{00000000-0002-0000-0200-000005000000}">
      <formula1>TRIM(F22)&lt;&gt;""</formula1>
    </dataValidation>
    <dataValidation type="list" allowBlank="1" showInputMessage="1" showErrorMessage="1" sqref="F42" xr:uid="{00000000-0002-0000-0200-000007000000}">
      <formula1>除雪工事補正係数</formula1>
    </dataValidation>
    <dataValidation type="list" allowBlank="1" showInputMessage="1" showErrorMessage="1" sqref="JA79 WBU98 VRY98 VIC98 UYG98 UOK98 UEO98 TUS98 TKW98 TBA98 SRE98 SHI98 RXM98 RNQ98 RDU98 QTY98 QKC98 QAG98 PQK98 PGO98 OWS98 OMW98 ODA98 NTE98 NJI98 MZM98 MPQ98 MFU98 LVY98 LMC98 LCG98 KSK98 KIO98 JYS98 JOW98 JFA98 IVE98 ILI98 IBM98 HRQ98 HHU98 GXY98 GOC98 GEG98 FUK98 FKO98 FAS98 EQW98 EHA98 DXE98 DNI98 DDM98 CTQ98 CJU98 BZY98 BQC98 BGG98 AWK98 AMO98 ACS98 SW98 JA98 WLQ98 WVM98 WVM85:WVM91 WLQ85:WLQ91 JA85:JA91 SW85:SW91 ACS85:ACS91 AMO85:AMO91 AWK85:AWK91 BGG85:BGG91 BQC85:BQC91 BZY85:BZY91 CJU85:CJU91 CTQ85:CTQ91 DDM85:DDM91 DNI85:DNI91 DXE85:DXE91 EHA85:EHA91 EQW85:EQW91 FAS85:FAS91 FKO85:FKO91 FUK85:FUK91 GEG85:GEG91 GOC85:GOC91 GXY85:GXY91 HHU85:HHU91 HRQ85:HRQ91 IBM85:IBM91 ILI85:ILI91 IVE85:IVE91 JFA85:JFA91 JOW85:JOW91 JYS85:JYS91 KIO85:KIO91 KSK85:KSK91 LCG85:LCG91 LMC85:LMC91 LVY85:LVY91 MFU85:MFU91 MPQ85:MPQ91 MZM85:MZM91 NJI85:NJI91 NTE85:NTE91 ODA85:ODA91 OMW85:OMW91 OWS85:OWS91 PGO85:PGO91 PQK85:PQK91 QAG85:QAG91 QKC85:QKC91 QTY85:QTY91 RDU85:RDU91 RNQ85:RNQ91 RXM85:RXM91 SHI85:SHI91 SRE85:SRE91 TBA85:TBA91 TKW85:TKW91 TUS85:TUS91 UEO85:UEO91 UOK85:UOK91 UYG85:UYG91 VIC85:VIC91 VRY85:VRY91 WBU85:WBU91 WVM79 WLQ79 WBU79 VRY79 VIC79 UYG79 UOK79 UEO79 TUS79 TKW79 TBA79 SRE79 SHI79 RXM79 RNQ79 RDU79 QTY79 QKC79 QAG79 PQK79 PGO79 OWS79 OMW79 ODA79 NTE79 NJI79 MZM79 MPQ79 MFU79 LVY79 LMC79 LCG79 KSK79 KIO79 JYS79 JOW79 JFA79 IVE79 ILI79 IBM79 HRQ79 HHU79 GXY79 GOC79 GEG79 FUK79 FKO79 FAS79 EQW79 EHA79 DXE79 DNI79 DDM79 CTQ79 CJU79 BZY79 BQC79 BGG79 AWK79 AMO79 ACS79 SW79" xr:uid="{00000000-0002-0000-0200-000008000000}">
      <formula1>$AN$3:$AN$7</formula1>
    </dataValidation>
    <dataValidation type="list" allowBlank="1" showInputMessage="1" showErrorMessage="1" sqref="F61" xr:uid="{00000000-0002-0000-0200-000009000000}">
      <formula1>積雪寒冷地</formula1>
    </dataValidation>
    <dataValidation type="whole" operator="greaterThanOrEqual" allowBlank="1" showInputMessage="1" showErrorMessage="1" prompt="導入した基数を入力して下さい。" sqref="F95:F96" xr:uid="{00000000-0002-0000-0200-00000A000000}">
      <formula1>0</formula1>
    </dataValidation>
    <dataValidation type="list" allowBlank="1" showInputMessage="1" showErrorMessage="1" prompt="特記に示す「快適トイレの標準仕様」を満たす場合のみ、「有り」を選択して下さい。_x000a__x000a_通常の現場トイレ、事務所内のトイレは該当しません。" sqref="F94" xr:uid="{00000000-0002-0000-0200-00000B000000}">
      <formula1>情報共有システム_ＡＳＰのみ_使用の有無</formula1>
    </dataValidation>
    <dataValidation type="list" operator="greaterThanOrEqual" allowBlank="1" showInputMessage="1" showErrorMessage="1" sqref="F24" xr:uid="{00000000-0002-0000-0200-00000C000000}">
      <formula1>基準書</formula1>
    </dataValidation>
    <dataValidation type="list" allowBlank="1" showInputMessage="1" showErrorMessage="1" sqref="F35" xr:uid="{00000000-0002-0000-0200-00000D000000}">
      <formula1>Yes_No</formula1>
    </dataValidation>
    <dataValidation type="list" allowBlank="1" showInputMessage="1" showErrorMessage="1" sqref="F36" xr:uid="{00000000-0002-0000-0200-00000E000000}">
      <formula1>山間僻地及び離島</formula1>
    </dataValidation>
    <dataValidation type="list" allowBlank="1" showInputMessage="1" showErrorMessage="1" sqref="F37" xr:uid="{00000000-0002-0000-0200-00000F000000}">
      <formula1>復興補正_共通仮設</formula1>
    </dataValidation>
    <dataValidation type="list" allowBlank="1" showInputMessage="1" promptTitle="施工地域の補正" prompt="リストから選択してください。_x000a_マニュアル参照" sqref="F34" xr:uid="{00000000-0002-0000-0200-000010000000}">
      <formula1>INDIRECT($H$24)</formula1>
    </dataValidation>
    <dataValidation type="list" allowBlank="1" showInputMessage="1" showErrorMessage="1" sqref="F38" xr:uid="{00000000-0002-0000-0200-000011000000}">
      <formula1>熊本復興補正</formula1>
    </dataValidation>
    <dataValidation type="list" allowBlank="1" showInputMessage="1" showErrorMessage="1" sqref="F41 F62:F64" xr:uid="{00000000-0002-0000-0200-000012000000}">
      <formula1>その他補正</formula1>
    </dataValidation>
    <dataValidation type="decimal" allowBlank="1" showInputMessage="1" showErrorMessage="1" sqref="F45 F72 F48 F66 F69 F51" xr:uid="{00000000-0002-0000-0200-000013000000}">
      <formula1>0</formula1>
      <formula2>999</formula2>
    </dataValidation>
    <dataValidation type="list" allowBlank="1" showInputMessage="1" showErrorMessage="1" sqref="F40" xr:uid="{00000000-0002-0000-0200-000014000000}">
      <formula1>週休2日補正有無</formula1>
    </dataValidation>
    <dataValidation type="list" allowBlank="1" showInputMessage="1" showErrorMessage="1" sqref="F82 F87:F91 F98" xr:uid="{00000000-0002-0000-0200-000015000000}">
      <formula1>有無</formula1>
    </dataValidation>
    <dataValidation type="list" allowBlank="1" showInputMessage="1" showErrorMessage="1" sqref="F39" xr:uid="{00000000-0002-0000-0200-000016000000}">
      <formula1>広島復興補正</formula1>
    </dataValidation>
    <dataValidation type="list" allowBlank="1" showInputMessage="1" showErrorMessage="1" sqref="F43" xr:uid="{D5A4470D-00E4-4F0B-A576-854400DFB2E7}">
      <formula1>ICT補正</formula1>
    </dataValidation>
    <dataValidation type="list" allowBlank="1" showInputMessage="1" showErrorMessage="1" sqref="F31" xr:uid="{A4D7DC00-6D86-409F-958D-B17632BCD22B}">
      <formula1>INDIRECT($O$116)</formula1>
    </dataValidation>
    <dataValidation type="list" allowBlank="1" showInputMessage="1" showErrorMessage="1" sqref="F30" xr:uid="{00000000-0002-0000-0200-000006000000}">
      <formula1>$N$118:$N$165</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legacyDrawing r:id="rId2"/>
  <extLst>
    <ext xmlns:x14="http://schemas.microsoft.com/office/spreadsheetml/2009/9/main" uri="{CCE6A557-97BC-4b89-ADB6-D9C93CAAB3DF}">
      <x14:dataValidations xmlns:xm="http://schemas.microsoft.com/office/excel/2006/main" xWindow="651" yWindow="390" count="1">
        <x14:dataValidation type="list" allowBlank="1" showInputMessage="1" showErrorMessage="1" xr:uid="{00000000-0002-0000-0200-000017000000}">
          <x14:formula1>
            <xm:f>Table!$A$518:$A$520</xm:f>
          </x14:formula1>
          <xm:sqref>F79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rgb="FF99CCFF"/>
  </sheetPr>
  <dimension ref="A1:AJ364"/>
  <sheetViews>
    <sheetView showGridLines="0" topLeftCell="A2" zoomScale="85" zoomScaleNormal="85" zoomScaleSheetLayoutView="85" workbookViewId="0">
      <selection activeCell="J5" sqref="J5"/>
    </sheetView>
  </sheetViews>
  <sheetFormatPr defaultRowHeight="13.5"/>
  <cols>
    <col min="1" max="1" width="3.25" style="3" customWidth="1"/>
    <col min="2" max="2" width="7.5" style="3" customWidth="1"/>
    <col min="3" max="3" width="5.25" style="3" customWidth="1"/>
    <col min="4" max="4" width="5.25" style="5" customWidth="1"/>
    <col min="5" max="5" width="4.75" style="5" customWidth="1"/>
    <col min="6" max="7" width="6.125" style="5" customWidth="1"/>
    <col min="8" max="8" width="37" style="5" customWidth="1"/>
    <col min="9" max="9" width="4.875" style="157" customWidth="1"/>
    <col min="10" max="10" width="16.25" style="5" bestFit="1" customWidth="1"/>
    <col min="11" max="11" width="25.25" style="86" customWidth="1"/>
    <col min="12" max="12" width="3.375" style="217" customWidth="1"/>
    <col min="13" max="13" width="19" style="217" customWidth="1"/>
    <col min="14" max="14" width="13" style="217" customWidth="1"/>
    <col min="15" max="15" width="13" style="217" hidden="1" customWidth="1"/>
    <col min="16" max="16" width="12.125" style="217" hidden="1" customWidth="1"/>
    <col min="17" max="21" width="13.25" style="217" hidden="1" customWidth="1"/>
    <col min="22" max="26" width="13.25" style="87" hidden="1" customWidth="1"/>
    <col min="27" max="27" width="13.875" style="5" customWidth="1"/>
    <col min="28" max="28" width="7" style="5" customWidth="1"/>
    <col min="29" max="29" width="47.125" style="5" customWidth="1"/>
    <col min="30" max="30" width="10.125" style="5" customWidth="1"/>
    <col min="31" max="31" width="12.25" style="5" customWidth="1"/>
    <col min="32" max="33" width="7.75" style="5" customWidth="1"/>
    <col min="34" max="16384" width="9" style="5"/>
  </cols>
  <sheetData>
    <row r="1" spans="1:36" ht="16.5" hidden="1" customHeight="1">
      <c r="A1" s="808" t="s">
        <v>642</v>
      </c>
      <c r="B1" s="808">
        <f>COUNTIF($B$9:$I$340,"※")</f>
        <v>76</v>
      </c>
      <c r="C1" s="809" t="s">
        <v>643</v>
      </c>
      <c r="D1" s="808">
        <f>COUNTIF($I$9:$I$211:$G$233:$G$234:P241:P340,"E")+COUNTIF($I$9:$I$211:$G$233:$G$234:P241:P340,"Ｅ")</f>
        <v>0</v>
      </c>
      <c r="O1" s="850"/>
      <c r="P1" s="850"/>
      <c r="Q1" s="850"/>
      <c r="R1" s="850"/>
      <c r="S1" s="850"/>
      <c r="T1" s="850"/>
      <c r="U1" s="850"/>
      <c r="V1" s="850"/>
      <c r="W1" s="850"/>
      <c r="X1" s="850"/>
      <c r="Y1" s="850"/>
      <c r="Z1" s="850"/>
    </row>
    <row r="2" spans="1:36" ht="27" customHeight="1">
      <c r="V2" s="217"/>
      <c r="W2" s="217"/>
      <c r="X2" s="217"/>
      <c r="Y2" s="217"/>
      <c r="Z2" s="217"/>
    </row>
    <row r="3" spans="1:36" ht="24" customHeight="1">
      <c r="B3" s="2277" t="s">
        <v>707</v>
      </c>
      <c r="C3" s="2278"/>
      <c r="D3" s="2279"/>
      <c r="E3" s="2357" t="str">
        <f>IF(工事情報!G4="","",工事情報!G4)</f>
        <v/>
      </c>
      <c r="F3" s="2266"/>
      <c r="G3" s="2266"/>
      <c r="H3" s="2266"/>
      <c r="I3" s="2266"/>
      <c r="J3" s="2267"/>
      <c r="V3" s="217"/>
      <c r="W3" s="217"/>
      <c r="X3" s="217"/>
      <c r="Y3" s="217"/>
      <c r="Z3" s="217"/>
    </row>
    <row r="4" spans="1:36" ht="30" customHeight="1">
      <c r="V4" s="217"/>
      <c r="W4" s="217"/>
      <c r="X4" s="217"/>
      <c r="Y4" s="217"/>
      <c r="Z4" s="217"/>
      <c r="AA4" s="87"/>
      <c r="AB4" s="87"/>
      <c r="AC4" s="87"/>
      <c r="AD4" s="87"/>
      <c r="AE4" s="87"/>
      <c r="AF4" s="87"/>
      <c r="AG4" s="87"/>
      <c r="AH4" s="87"/>
      <c r="AI4" s="87"/>
      <c r="AJ4" s="87"/>
    </row>
    <row r="5" spans="1:36" ht="15" customHeight="1">
      <c r="B5" s="4" t="s">
        <v>414</v>
      </c>
      <c r="D5" s="3"/>
      <c r="Q5" s="217" t="s">
        <v>888</v>
      </c>
      <c r="T5" s="242"/>
      <c r="U5" s="830"/>
      <c r="V5" s="217"/>
      <c r="W5" s="217"/>
      <c r="X5" s="217"/>
      <c r="Y5" s="217"/>
      <c r="Z5" s="217"/>
      <c r="AA5" s="87"/>
      <c r="AB5" s="3" t="s">
        <v>1251</v>
      </c>
      <c r="AC5" s="217"/>
      <c r="AD5" s="217"/>
      <c r="AE5" s="87"/>
      <c r="AF5" s="87"/>
      <c r="AG5" s="87"/>
    </row>
    <row r="6" spans="1:36" s="20" customFormat="1">
      <c r="A6" s="19"/>
      <c r="B6" s="19"/>
      <c r="C6" s="19"/>
      <c r="D6" s="72"/>
      <c r="I6" s="157"/>
      <c r="K6" s="121"/>
      <c r="L6" s="637"/>
      <c r="M6" s="637"/>
      <c r="N6" s="637"/>
      <c r="O6" s="637"/>
      <c r="P6" s="637"/>
      <c r="Q6" s="2299" t="s">
        <v>885</v>
      </c>
      <c r="R6" s="2291" t="s">
        <v>1113</v>
      </c>
      <c r="S6" s="2297" t="s">
        <v>1796</v>
      </c>
      <c r="T6" s="2299" t="s">
        <v>889</v>
      </c>
      <c r="U6" s="2299" t="s">
        <v>886</v>
      </c>
      <c r="V6" s="2299" t="s">
        <v>887</v>
      </c>
      <c r="W6" s="2293" t="s">
        <v>890</v>
      </c>
      <c r="X6" s="2293" t="s">
        <v>946</v>
      </c>
      <c r="Y6" s="2293" t="s">
        <v>1077</v>
      </c>
      <c r="Z6" s="2291" t="s">
        <v>1112</v>
      </c>
      <c r="AA6" s="849"/>
      <c r="AB6" s="637"/>
      <c r="AC6" s="637"/>
      <c r="AD6" s="637"/>
      <c r="AE6" s="849"/>
      <c r="AF6" s="849"/>
      <c r="AG6" s="849"/>
    </row>
    <row r="7" spans="1:36" ht="28.5" customHeight="1">
      <c r="B7" s="23" t="s">
        <v>697</v>
      </c>
      <c r="C7" s="12" t="s">
        <v>415</v>
      </c>
      <c r="D7" s="11"/>
      <c r="E7" s="10"/>
      <c r="F7" s="562" t="s">
        <v>212</v>
      </c>
      <c r="G7" s="20"/>
      <c r="H7" s="20"/>
      <c r="J7" s="278" t="s">
        <v>324</v>
      </c>
      <c r="Q7" s="2298"/>
      <c r="R7" s="2298"/>
      <c r="S7" s="2298"/>
      <c r="T7" s="2298"/>
      <c r="U7" s="2298"/>
      <c r="V7" s="2298"/>
      <c r="W7" s="2292"/>
      <c r="X7" s="2292"/>
      <c r="Y7" s="2292"/>
      <c r="Z7" s="2292"/>
      <c r="AA7" s="87"/>
      <c r="AB7" s="2378" t="s">
        <v>1252</v>
      </c>
      <c r="AC7" s="2379"/>
      <c r="AD7" s="1120" t="s">
        <v>1253</v>
      </c>
      <c r="AE7" s="87"/>
      <c r="AF7" s="87"/>
      <c r="AG7" s="87"/>
    </row>
    <row r="8" spans="1:36" ht="21.75" customHeight="1">
      <c r="B8" s="1"/>
      <c r="C8" s="18" t="s">
        <v>416</v>
      </c>
      <c r="D8" s="18"/>
      <c r="E8" s="13"/>
      <c r="F8" s="13"/>
      <c r="G8" s="13"/>
      <c r="H8" s="13"/>
      <c r="I8" s="158"/>
      <c r="J8" s="25" t="s">
        <v>417</v>
      </c>
      <c r="O8" s="217" t="s">
        <v>1111</v>
      </c>
      <c r="Q8" s="1544"/>
      <c r="R8" s="1545"/>
      <c r="S8" s="1545"/>
      <c r="T8" s="1545"/>
      <c r="U8" s="1545"/>
      <c r="V8" s="1545"/>
      <c r="W8" s="1545"/>
      <c r="X8" s="1545"/>
      <c r="Y8" s="1545"/>
      <c r="Z8" s="1545"/>
      <c r="AA8" s="87"/>
      <c r="AB8" s="2380"/>
      <c r="AC8" s="2381"/>
      <c r="AD8" s="1121" t="s">
        <v>1254</v>
      </c>
      <c r="AE8" s="87"/>
      <c r="AF8" s="87"/>
      <c r="AG8" s="87"/>
    </row>
    <row r="9" spans="1:36" ht="19.5" customHeight="1">
      <c r="B9" s="1"/>
      <c r="C9" s="41" t="s">
        <v>371</v>
      </c>
      <c r="D9" s="9" t="s">
        <v>418</v>
      </c>
      <c r="E9" s="9"/>
      <c r="F9" s="7"/>
      <c r="G9" s="7"/>
      <c r="H9" s="271"/>
      <c r="I9" s="505" t="str">
        <f>IF(J9="","※",IF(J9&gt;O9,"Ｅ",IF(J9&lt;&gt;O9,"E","")))</f>
        <v>※</v>
      </c>
      <c r="J9" s="915"/>
      <c r="K9" s="2303" t="str">
        <f>IF(I9="E","内訳「(1)+(3)+(4)+(6)+(7)」の方が大きくなっています",IF(I9="Ｅ","内訳「(1)+(3)+(4)+(6)+(7)」と一致していません",""))</f>
        <v/>
      </c>
      <c r="L9" s="2285"/>
      <c r="M9" s="2285"/>
      <c r="N9" s="908"/>
      <c r="O9" s="5">
        <f>SUMIF(Z9:Z60,"○",J9:J60)</f>
        <v>0</v>
      </c>
      <c r="P9" s="5"/>
      <c r="Q9" s="1546"/>
      <c r="R9" s="1547"/>
      <c r="S9" s="1547"/>
      <c r="T9" s="1547"/>
      <c r="U9" s="1547"/>
      <c r="V9" s="1547" t="s">
        <v>648</v>
      </c>
      <c r="W9" s="1547" t="s">
        <v>648</v>
      </c>
      <c r="X9" s="1547" t="s">
        <v>648</v>
      </c>
      <c r="Y9" s="1547"/>
      <c r="Z9" s="1547"/>
      <c r="AA9" s="87"/>
      <c r="AB9" s="1122" t="s">
        <v>1255</v>
      </c>
      <c r="AC9" s="1123" t="s">
        <v>1256</v>
      </c>
      <c r="AD9" s="1124" t="s">
        <v>1257</v>
      </c>
      <c r="AE9" s="87"/>
      <c r="AF9" s="87"/>
      <c r="AG9" s="87"/>
    </row>
    <row r="10" spans="1:36" ht="19.5" customHeight="1">
      <c r="B10" s="1"/>
      <c r="C10" s="42"/>
      <c r="D10" s="1803" t="s">
        <v>60</v>
      </c>
      <c r="E10" s="1490" t="s">
        <v>542</v>
      </c>
      <c r="F10" s="1490"/>
      <c r="G10" s="1490"/>
      <c r="H10" s="1804"/>
      <c r="I10" s="159" t="str">
        <f t="shared" ref="I10:I14" si="0">IF(J10="","※","")</f>
        <v>※</v>
      </c>
      <c r="J10" s="915"/>
      <c r="K10" s="122"/>
      <c r="L10" s="638"/>
      <c r="M10" s="638"/>
      <c r="N10" s="638"/>
      <c r="O10" s="638"/>
      <c r="P10" s="638"/>
      <c r="Q10" s="1546"/>
      <c r="R10" s="1547"/>
      <c r="S10" s="1547"/>
      <c r="T10" s="1547"/>
      <c r="U10" s="1547"/>
      <c r="V10" s="1547"/>
      <c r="W10" s="1547"/>
      <c r="X10" s="1547"/>
      <c r="Y10" s="1547"/>
      <c r="Z10" s="1548" t="s">
        <v>1114</v>
      </c>
      <c r="AB10" s="1122" t="s">
        <v>1258</v>
      </c>
      <c r="AC10" s="1123" t="s">
        <v>1259</v>
      </c>
      <c r="AD10" s="1124" t="s">
        <v>1257</v>
      </c>
    </row>
    <row r="11" spans="1:36" ht="19.5" customHeight="1">
      <c r="C11" s="15"/>
      <c r="D11" s="1803" t="s">
        <v>693</v>
      </c>
      <c r="E11" s="1489" t="s">
        <v>2063</v>
      </c>
      <c r="F11" s="1490"/>
      <c r="G11" s="1490"/>
      <c r="H11" s="1804"/>
      <c r="I11" s="159" t="str">
        <f t="shared" si="0"/>
        <v>※</v>
      </c>
      <c r="J11" s="915"/>
      <c r="K11" s="2284" t="s">
        <v>170</v>
      </c>
      <c r="L11" s="2285"/>
      <c r="M11" s="2285"/>
      <c r="N11" s="908"/>
      <c r="O11" s="5"/>
      <c r="P11" s="5"/>
      <c r="Q11" s="1546"/>
      <c r="R11" s="1547"/>
      <c r="S11" s="1547"/>
      <c r="T11" s="1547"/>
      <c r="U11" s="1547"/>
      <c r="V11" s="1547"/>
      <c r="W11" s="1547" t="s">
        <v>648</v>
      </c>
      <c r="X11" s="1547" t="s">
        <v>648</v>
      </c>
      <c r="Y11" s="1547"/>
      <c r="Z11" s="1547"/>
      <c r="AB11" s="1122" t="s">
        <v>1260</v>
      </c>
      <c r="AC11" s="1123" t="s">
        <v>1261</v>
      </c>
      <c r="AD11" s="1124" t="s">
        <v>1257</v>
      </c>
    </row>
    <row r="12" spans="1:36" ht="19.5" customHeight="1">
      <c r="C12" s="15"/>
      <c r="D12" s="1805" t="s">
        <v>61</v>
      </c>
      <c r="E12" s="1422" t="s">
        <v>543</v>
      </c>
      <c r="F12" s="1422"/>
      <c r="G12" s="1422"/>
      <c r="H12" s="1806"/>
      <c r="I12" s="1028" t="str">
        <f>IF(J12="","※",IF(J12&lt;(+J13+J14),"E",""))</f>
        <v>※</v>
      </c>
      <c r="J12" s="1401"/>
      <c r="K12" s="1473" t="str">
        <f>IF(I12="E","「(3)労務費」より「1）交通誘導員Aと2)交通誘導員B」の合計が大きくなっています","")</f>
        <v/>
      </c>
      <c r="Q12" s="1549"/>
      <c r="R12" s="1550"/>
      <c r="S12" s="1550"/>
      <c r="T12" s="1550"/>
      <c r="U12" s="1550"/>
      <c r="V12" s="1550"/>
      <c r="W12" s="1550"/>
      <c r="X12" s="1550"/>
      <c r="Y12" s="1550"/>
      <c r="Z12" s="1551" t="s">
        <v>1114</v>
      </c>
      <c r="AB12" s="1125" t="s">
        <v>1262</v>
      </c>
      <c r="AC12" s="1126" t="s">
        <v>1263</v>
      </c>
      <c r="AD12" s="1120" t="s">
        <v>1257</v>
      </c>
    </row>
    <row r="13" spans="1:36" ht="19.5" customHeight="1">
      <c r="C13" s="15"/>
      <c r="D13" s="1807"/>
      <c r="E13" s="1808" t="s">
        <v>107</v>
      </c>
      <c r="F13" s="1425" t="s">
        <v>1676</v>
      </c>
      <c r="G13" s="1809"/>
      <c r="H13" s="1810"/>
      <c r="I13" s="936" t="str">
        <f t="shared" si="0"/>
        <v>※</v>
      </c>
      <c r="J13" s="1402"/>
      <c r="K13" s="2284" t="s">
        <v>1765</v>
      </c>
      <c r="L13" s="2285"/>
      <c r="M13" s="2285"/>
      <c r="Q13" s="1552"/>
      <c r="R13" s="1553"/>
      <c r="S13" s="1553"/>
      <c r="T13" s="1553"/>
      <c r="U13" s="1553"/>
      <c r="V13" s="1553"/>
      <c r="W13" s="1553"/>
      <c r="X13" s="1553"/>
      <c r="Y13" s="1553"/>
      <c r="Z13" s="1553"/>
      <c r="AB13" s="1127" t="s">
        <v>1264</v>
      </c>
      <c r="AC13" s="1128" t="s">
        <v>1265</v>
      </c>
      <c r="AD13" s="1129"/>
    </row>
    <row r="14" spans="1:36" ht="19.5" customHeight="1">
      <c r="C14" s="15"/>
      <c r="D14" s="1811"/>
      <c r="E14" s="1812" t="s">
        <v>1675</v>
      </c>
      <c r="F14" s="1813" t="s">
        <v>1677</v>
      </c>
      <c r="G14" s="1814"/>
      <c r="H14" s="1815"/>
      <c r="I14" s="154" t="str">
        <f t="shared" si="0"/>
        <v>※</v>
      </c>
      <c r="J14" s="1416"/>
      <c r="K14" s="2284" t="s">
        <v>1765</v>
      </c>
      <c r="L14" s="2285"/>
      <c r="M14" s="2285"/>
      <c r="Q14" s="1554"/>
      <c r="R14" s="1555"/>
      <c r="S14" s="1555"/>
      <c r="T14" s="1555"/>
      <c r="U14" s="1555"/>
      <c r="V14" s="1555"/>
      <c r="W14" s="1555"/>
      <c r="X14" s="1555"/>
      <c r="Y14" s="1555"/>
      <c r="Z14" s="1555"/>
      <c r="AB14" s="1127" t="s">
        <v>1266</v>
      </c>
      <c r="AC14" s="1128" t="s">
        <v>1267</v>
      </c>
      <c r="AD14" s="1129"/>
    </row>
    <row r="15" spans="1:36" ht="19.5" customHeight="1">
      <c r="C15" s="15"/>
      <c r="D15" s="1816" t="s">
        <v>62</v>
      </c>
      <c r="E15" s="1489" t="s">
        <v>473</v>
      </c>
      <c r="F15" s="1490"/>
      <c r="G15" s="1490"/>
      <c r="H15" s="1804"/>
      <c r="I15" s="159" t="str">
        <f>IF(J15="","※","")</f>
        <v>※</v>
      </c>
      <c r="J15" s="915"/>
      <c r="Q15" s="1546"/>
      <c r="R15" s="1547"/>
      <c r="S15" s="1547"/>
      <c r="T15" s="1547"/>
      <c r="U15" s="1547"/>
      <c r="V15" s="1547"/>
      <c r="W15" s="1547"/>
      <c r="X15" s="1547"/>
      <c r="Y15" s="1547"/>
      <c r="Z15" s="1548" t="s">
        <v>1114</v>
      </c>
      <c r="AB15" s="1127" t="s">
        <v>1268</v>
      </c>
      <c r="AC15" s="1128" t="s">
        <v>1269</v>
      </c>
      <c r="AD15" s="1129"/>
    </row>
    <row r="16" spans="1:36" ht="19.5" customHeight="1">
      <c r="C16" s="15"/>
      <c r="D16" s="1816" t="s">
        <v>694</v>
      </c>
      <c r="E16" s="1489" t="s">
        <v>63</v>
      </c>
      <c r="F16" s="1490"/>
      <c r="G16" s="1490"/>
      <c r="H16" s="1804"/>
      <c r="I16" s="159" t="str">
        <f>IF(J16="","※","")</f>
        <v>※</v>
      </c>
      <c r="J16" s="915"/>
      <c r="K16" s="2284" t="s">
        <v>170</v>
      </c>
      <c r="L16" s="2285"/>
      <c r="M16" s="2285"/>
      <c r="N16" s="908"/>
      <c r="O16" s="5"/>
      <c r="P16" s="5"/>
      <c r="Q16" s="1546"/>
      <c r="R16" s="1547"/>
      <c r="S16" s="1547"/>
      <c r="T16" s="1547"/>
      <c r="U16" s="1547"/>
      <c r="V16" s="1547"/>
      <c r="W16" s="1547" t="s">
        <v>648</v>
      </c>
      <c r="X16" s="1547" t="s">
        <v>648</v>
      </c>
      <c r="Y16" s="1547"/>
      <c r="Z16" s="1547"/>
      <c r="AB16" s="1122" t="s">
        <v>1270</v>
      </c>
      <c r="AC16" s="1123" t="s">
        <v>1271</v>
      </c>
      <c r="AD16" s="1124" t="s">
        <v>1257</v>
      </c>
    </row>
    <row r="17" spans="1:30" ht="19.5" customHeight="1">
      <c r="C17" s="15"/>
      <c r="D17" s="1816" t="s">
        <v>64</v>
      </c>
      <c r="E17" s="1490" t="s">
        <v>2064</v>
      </c>
      <c r="F17" s="1490"/>
      <c r="G17" s="1490"/>
      <c r="H17" s="1804"/>
      <c r="I17" s="159" t="str">
        <f>IF(J17="","※","")</f>
        <v>※</v>
      </c>
      <c r="J17" s="915"/>
      <c r="Q17" s="1546"/>
      <c r="R17" s="1547"/>
      <c r="S17" s="1547"/>
      <c r="T17" s="1547"/>
      <c r="U17" s="1547"/>
      <c r="V17" s="1547"/>
      <c r="W17" s="1547"/>
      <c r="X17" s="1547"/>
      <c r="Y17" s="1547"/>
      <c r="Z17" s="1548" t="s">
        <v>1114</v>
      </c>
      <c r="AB17" s="1122" t="s">
        <v>1272</v>
      </c>
      <c r="AC17" s="1130" t="s">
        <v>1273</v>
      </c>
      <c r="AD17" s="1124" t="s">
        <v>1257</v>
      </c>
    </row>
    <row r="18" spans="1:30" s="1147" customFormat="1" ht="19.5" customHeight="1">
      <c r="A18" s="3"/>
      <c r="B18" s="3"/>
      <c r="C18" s="15"/>
      <c r="D18" s="1805" t="s">
        <v>1547</v>
      </c>
      <c r="E18" s="1422" t="s">
        <v>40</v>
      </c>
      <c r="F18" s="1422"/>
      <c r="G18" s="1422"/>
      <c r="H18" s="1806"/>
      <c r="I18" s="1028" t="str">
        <f>IF(J18="","※","")</f>
        <v>※</v>
      </c>
      <c r="J18" s="1401"/>
      <c r="K18" s="1302" t="str">
        <f>IF(I19="E","「(7)その他」より「1）処分費」が大きくなっています","")</f>
        <v/>
      </c>
      <c r="L18" s="1303"/>
      <c r="M18" s="1303"/>
      <c r="N18" s="1303"/>
      <c r="O18" s="1303"/>
      <c r="P18" s="1303"/>
      <c r="Q18" s="1549"/>
      <c r="R18" s="1550"/>
      <c r="S18" s="1550"/>
      <c r="T18" s="1550"/>
      <c r="U18" s="1550"/>
      <c r="V18" s="1550"/>
      <c r="W18" s="1550"/>
      <c r="X18" s="1550"/>
      <c r="Y18" s="1550"/>
      <c r="Z18" s="1551" t="s">
        <v>1095</v>
      </c>
      <c r="AB18" s="1125" t="s">
        <v>1274</v>
      </c>
      <c r="AC18" s="1143" t="s">
        <v>1275</v>
      </c>
      <c r="AD18" s="1120" t="s">
        <v>1257</v>
      </c>
    </row>
    <row r="19" spans="1:30" ht="19.5" customHeight="1">
      <c r="C19" s="15"/>
      <c r="D19" s="1807"/>
      <c r="E19" s="1817" t="s">
        <v>107</v>
      </c>
      <c r="F19" s="1427" t="s">
        <v>1548</v>
      </c>
      <c r="G19" s="1818"/>
      <c r="H19" s="1819"/>
      <c r="I19" s="1403" t="str">
        <f>IF(J19="","※",IF(J18&lt;J19,"E",""))</f>
        <v>※</v>
      </c>
      <c r="J19" s="1404"/>
      <c r="K19" s="832"/>
      <c r="L19" s="703"/>
      <c r="M19" s="703"/>
      <c r="N19" s="703"/>
      <c r="O19" s="703"/>
      <c r="P19" s="703"/>
      <c r="Q19" s="1554"/>
      <c r="R19" s="1555"/>
      <c r="S19" s="1555"/>
      <c r="T19" s="1555"/>
      <c r="U19" s="1555"/>
      <c r="V19" s="1555"/>
      <c r="W19" s="1555"/>
      <c r="X19" s="1555"/>
      <c r="Y19" s="1555"/>
      <c r="Z19" s="1555"/>
      <c r="AB19" s="1127" t="s">
        <v>1276</v>
      </c>
      <c r="AC19" s="1131" t="s">
        <v>1277</v>
      </c>
      <c r="AD19" s="1129"/>
    </row>
    <row r="20" spans="1:30" ht="19.5" hidden="1" customHeight="1">
      <c r="C20" s="1520" t="s">
        <v>1674</v>
      </c>
      <c r="D20" s="1521"/>
      <c r="E20" s="1522"/>
      <c r="F20" s="1523"/>
      <c r="G20" s="1523"/>
      <c r="H20" s="1524"/>
      <c r="I20" s="1405"/>
      <c r="J20" s="1525"/>
      <c r="K20" s="1304"/>
      <c r="L20" s="1303"/>
      <c r="M20" s="1303"/>
      <c r="Q20" s="1503"/>
      <c r="R20" s="1504"/>
      <c r="S20" s="1504"/>
      <c r="T20" s="1504"/>
      <c r="U20" s="1504"/>
      <c r="V20" s="1504"/>
      <c r="W20" s="1504"/>
      <c r="X20" s="1504"/>
      <c r="Y20" s="1504"/>
      <c r="Z20" s="1556"/>
    </row>
    <row r="21" spans="1:30" ht="19.5" hidden="1" customHeight="1">
      <c r="C21" s="1526"/>
      <c r="D21" s="1527"/>
      <c r="E21" s="1527"/>
      <c r="F21" s="1528"/>
      <c r="G21" s="1529"/>
      <c r="H21" s="1530"/>
      <c r="I21" s="701"/>
      <c r="J21" s="835"/>
      <c r="Q21" s="1503"/>
      <c r="R21" s="1504"/>
      <c r="S21" s="1504"/>
      <c r="T21" s="1504"/>
      <c r="U21" s="1504"/>
      <c r="V21" s="1504"/>
      <c r="W21" s="1504"/>
      <c r="X21" s="1504"/>
      <c r="Y21" s="1504"/>
      <c r="Z21" s="1504"/>
    </row>
    <row r="22" spans="1:30" ht="19.5" hidden="1" customHeight="1">
      <c r="C22" s="1531"/>
      <c r="D22" s="1532"/>
      <c r="E22" s="1533"/>
      <c r="F22" s="1534"/>
      <c r="G22" s="1533"/>
      <c r="H22" s="1535"/>
      <c r="I22" s="702"/>
      <c r="J22" s="837"/>
      <c r="Q22" s="1503"/>
      <c r="R22" s="1504"/>
      <c r="S22" s="1504"/>
      <c r="T22" s="1504"/>
      <c r="U22" s="1504"/>
      <c r="V22" s="1504"/>
      <c r="W22" s="1504"/>
      <c r="X22" s="1504"/>
      <c r="Y22" s="1504"/>
      <c r="Z22" s="1504"/>
    </row>
    <row r="23" spans="1:30" ht="19.5" customHeight="1">
      <c r="C23" s="45" t="s">
        <v>372</v>
      </c>
      <c r="D23" s="9" t="s">
        <v>807</v>
      </c>
      <c r="E23" s="9"/>
      <c r="F23" s="7"/>
      <c r="G23" s="7"/>
      <c r="H23" s="6"/>
      <c r="I23" s="160"/>
      <c r="J23" s="906">
        <f>SUMIF(Q8:Q351,"○",$J$8:$J$351)</f>
        <v>0</v>
      </c>
      <c r="Q23" s="1505"/>
      <c r="R23" s="1506"/>
      <c r="S23" s="1506"/>
      <c r="T23" s="1506"/>
      <c r="U23" s="1506"/>
      <c r="V23" s="1506" t="s">
        <v>648</v>
      </c>
      <c r="W23" s="1506"/>
      <c r="X23" s="1506"/>
      <c r="Y23" s="1506"/>
      <c r="Z23" s="1506"/>
      <c r="AB23" s="1132" t="s">
        <v>1278</v>
      </c>
      <c r="AC23" s="1133" t="s">
        <v>1279</v>
      </c>
      <c r="AD23" s="1134"/>
    </row>
    <row r="24" spans="1:30" ht="19.5" customHeight="1">
      <c r="C24" s="321"/>
      <c r="D24" s="323" t="s">
        <v>1018</v>
      </c>
      <c r="E24" s="324" t="s">
        <v>1016</v>
      </c>
      <c r="F24" s="223"/>
      <c r="G24" s="324"/>
      <c r="H24" s="325"/>
      <c r="I24" s="160"/>
      <c r="J24" s="906">
        <f>SUMIF(R8:R351,"○",$J$8:$J$351)</f>
        <v>0</v>
      </c>
      <c r="Q24" s="1505"/>
      <c r="R24" s="1506"/>
      <c r="S24" s="1506"/>
      <c r="T24" s="1506"/>
      <c r="U24" s="1506"/>
      <c r="V24" s="1506"/>
      <c r="W24" s="1506"/>
      <c r="X24" s="1506"/>
      <c r="Y24" s="1506"/>
      <c r="Z24" s="1506"/>
      <c r="AB24" s="1122" t="s">
        <v>1280</v>
      </c>
      <c r="AC24" s="1123" t="s">
        <v>1281</v>
      </c>
      <c r="AD24" s="1124" t="s">
        <v>1257</v>
      </c>
    </row>
    <row r="25" spans="1:30" ht="19.5" customHeight="1">
      <c r="C25" s="322"/>
      <c r="D25" s="326"/>
      <c r="E25" s="323" t="s">
        <v>174</v>
      </c>
      <c r="F25" s="324" t="s">
        <v>173</v>
      </c>
      <c r="G25" s="324"/>
      <c r="H25" s="324"/>
      <c r="I25" s="187"/>
      <c r="J25" s="333">
        <f>SUMIF(S8:S351,"○",$J$8:$J$351)</f>
        <v>0</v>
      </c>
      <c r="Q25" s="1507" t="s">
        <v>648</v>
      </c>
      <c r="R25" s="1507" t="s">
        <v>648</v>
      </c>
      <c r="S25" s="1508"/>
      <c r="T25" s="1508"/>
      <c r="U25" s="1508"/>
      <c r="V25" s="1508"/>
      <c r="W25" s="1508"/>
      <c r="X25" s="1508"/>
      <c r="Y25" s="1508"/>
      <c r="Z25" s="1508"/>
      <c r="AB25" s="1122" t="s">
        <v>1282</v>
      </c>
      <c r="AC25" s="1123" t="s">
        <v>1283</v>
      </c>
      <c r="AD25" s="1124" t="s">
        <v>1257</v>
      </c>
    </row>
    <row r="26" spans="1:30" ht="19.5" customHeight="1">
      <c r="C26" s="322"/>
      <c r="D26" s="326"/>
      <c r="E26" s="326"/>
      <c r="F26" s="940" t="s">
        <v>175</v>
      </c>
      <c r="G26" s="299" t="s">
        <v>808</v>
      </c>
      <c r="H26" s="941"/>
      <c r="I26" s="942" t="str">
        <f t="shared" ref="I26:I32" si="1">IF(J26="","※","")</f>
        <v>※</v>
      </c>
      <c r="J26" s="943"/>
      <c r="Q26" s="1557"/>
      <c r="R26" s="1558"/>
      <c r="S26" s="1558" t="s">
        <v>648</v>
      </c>
      <c r="T26" s="1558"/>
      <c r="U26" s="1558"/>
      <c r="V26" s="1558"/>
      <c r="W26" s="1558"/>
      <c r="X26" s="1558"/>
      <c r="Y26" s="1558"/>
      <c r="Z26" s="1558"/>
      <c r="AB26" s="1122" t="s">
        <v>1284</v>
      </c>
      <c r="AC26" s="1123" t="s">
        <v>1285</v>
      </c>
      <c r="AD26" s="1124" t="s">
        <v>1257</v>
      </c>
    </row>
    <row r="27" spans="1:30" ht="19.5" customHeight="1">
      <c r="C27" s="322"/>
      <c r="D27" s="326"/>
      <c r="E27" s="326"/>
      <c r="F27" s="949" t="s">
        <v>544</v>
      </c>
      <c r="G27" s="299" t="s">
        <v>809</v>
      </c>
      <c r="H27" s="941"/>
      <c r="I27" s="942"/>
      <c r="J27" s="944">
        <f>SUMIF(T8:T351,"○",$J$8:$J$351)</f>
        <v>0</v>
      </c>
      <c r="Q27" s="1509"/>
      <c r="R27" s="1510"/>
      <c r="S27" s="1510" t="s">
        <v>648</v>
      </c>
      <c r="T27" s="1510"/>
      <c r="U27" s="1510"/>
      <c r="V27" s="1510"/>
      <c r="W27" s="1510"/>
      <c r="X27" s="1510"/>
      <c r="Y27" s="1510"/>
      <c r="Z27" s="1510"/>
      <c r="AB27" s="1122" t="s">
        <v>1286</v>
      </c>
      <c r="AC27" s="1123" t="s">
        <v>1287</v>
      </c>
      <c r="AD27" s="1124" t="s">
        <v>1257</v>
      </c>
    </row>
    <row r="28" spans="1:30" ht="19.5" customHeight="1">
      <c r="C28" s="322"/>
      <c r="D28" s="326"/>
      <c r="E28" s="326"/>
      <c r="F28" s="950"/>
      <c r="G28" s="299" t="s">
        <v>438</v>
      </c>
      <c r="H28" s="941"/>
      <c r="I28" s="942" t="str">
        <f t="shared" si="1"/>
        <v>※</v>
      </c>
      <c r="J28" s="943"/>
      <c r="Q28" s="1557"/>
      <c r="R28" s="1558"/>
      <c r="S28" s="1558"/>
      <c r="T28" s="1558" t="s">
        <v>648</v>
      </c>
      <c r="U28" s="1558"/>
      <c r="V28" s="1558"/>
      <c r="W28" s="1558"/>
      <c r="X28" s="1558"/>
      <c r="Y28" s="1558"/>
      <c r="Z28" s="1558"/>
      <c r="AB28" s="1122" t="s">
        <v>1288</v>
      </c>
      <c r="AC28" s="1123" t="s">
        <v>1289</v>
      </c>
      <c r="AD28" s="1124" t="s">
        <v>1257</v>
      </c>
    </row>
    <row r="29" spans="1:30" ht="19.5" customHeight="1">
      <c r="C29" s="322"/>
      <c r="D29" s="326"/>
      <c r="E29" s="326"/>
      <c r="F29" s="948"/>
      <c r="G29" s="1425" t="s">
        <v>1753</v>
      </c>
      <c r="H29" s="941"/>
      <c r="I29" s="942" t="str">
        <f t="shared" si="1"/>
        <v>※</v>
      </c>
      <c r="J29" s="943"/>
      <c r="Q29" s="1557"/>
      <c r="R29" s="1558"/>
      <c r="S29" s="1558"/>
      <c r="T29" s="1558" t="s">
        <v>648</v>
      </c>
      <c r="U29" s="1558"/>
      <c r="V29" s="1558"/>
      <c r="W29" s="1558" t="s">
        <v>648</v>
      </c>
      <c r="X29" s="1558" t="s">
        <v>648</v>
      </c>
      <c r="Y29" s="1558"/>
      <c r="Z29" s="1558"/>
      <c r="AB29" s="1122" t="s">
        <v>1290</v>
      </c>
      <c r="AC29" s="1123" t="s">
        <v>1291</v>
      </c>
      <c r="AD29" s="1124" t="s">
        <v>1257</v>
      </c>
    </row>
    <row r="30" spans="1:30" ht="19.5" customHeight="1">
      <c r="C30" s="322"/>
      <c r="D30" s="326"/>
      <c r="E30" s="326"/>
      <c r="F30" s="940" t="s">
        <v>176</v>
      </c>
      <c r="G30" s="299" t="s">
        <v>177</v>
      </c>
      <c r="H30" s="945"/>
      <c r="I30" s="942" t="str">
        <f t="shared" si="1"/>
        <v>※</v>
      </c>
      <c r="J30" s="943"/>
      <c r="K30" s="1611" t="s">
        <v>1848</v>
      </c>
      <c r="L30" s="1612"/>
      <c r="M30" s="1612"/>
      <c r="Q30" s="1557"/>
      <c r="R30" s="1558"/>
      <c r="S30" s="1558" t="s">
        <v>648</v>
      </c>
      <c r="T30" s="1558"/>
      <c r="U30" s="1558"/>
      <c r="V30" s="1558"/>
      <c r="W30" s="1558" t="s">
        <v>648</v>
      </c>
      <c r="X30" s="1558" t="s">
        <v>648</v>
      </c>
      <c r="Y30" s="1558"/>
      <c r="Z30" s="1558"/>
      <c r="AB30" s="1122" t="s">
        <v>1292</v>
      </c>
      <c r="AC30" s="1123" t="s">
        <v>1293</v>
      </c>
      <c r="AD30" s="1124" t="s">
        <v>1257</v>
      </c>
    </row>
    <row r="31" spans="1:30" ht="19.5" customHeight="1">
      <c r="C31" s="322"/>
      <c r="D31" s="279"/>
      <c r="E31" s="279"/>
      <c r="F31" s="1297" t="s">
        <v>545</v>
      </c>
      <c r="G31" s="947" t="s">
        <v>810</v>
      </c>
      <c r="H31" s="945"/>
      <c r="I31" s="942" t="str">
        <f t="shared" si="1"/>
        <v>※</v>
      </c>
      <c r="J31" s="943"/>
      <c r="K31" s="1613" t="s">
        <v>1849</v>
      </c>
      <c r="L31" s="1614"/>
      <c r="M31" s="1615"/>
      <c r="N31" s="1576"/>
      <c r="Q31" s="1557"/>
      <c r="R31" s="1558"/>
      <c r="S31" s="1558" t="s">
        <v>648</v>
      </c>
      <c r="T31" s="1558"/>
      <c r="U31" s="1558"/>
      <c r="V31" s="1558"/>
      <c r="W31" s="1558"/>
      <c r="X31" s="1558"/>
      <c r="Y31" s="1558"/>
      <c r="Z31" s="1558"/>
      <c r="AB31" s="1122" t="s">
        <v>1294</v>
      </c>
      <c r="AC31" s="1123" t="s">
        <v>1295</v>
      </c>
      <c r="AD31" s="1124" t="s">
        <v>1257</v>
      </c>
    </row>
    <row r="32" spans="1:30" ht="26.25" customHeight="1">
      <c r="C32" s="2035"/>
      <c r="D32" s="2035"/>
      <c r="E32" s="2035"/>
      <c r="F32" s="2036"/>
      <c r="G32" s="2282" t="s">
        <v>2270</v>
      </c>
      <c r="H32" s="2283"/>
      <c r="I32" s="942" t="str">
        <f t="shared" si="1"/>
        <v>※</v>
      </c>
      <c r="J32" s="943"/>
      <c r="Q32" s="1559"/>
      <c r="R32" s="1560"/>
      <c r="S32" s="1560"/>
      <c r="T32" s="1560"/>
      <c r="U32" s="1560"/>
      <c r="V32" s="1560"/>
      <c r="W32" s="1560"/>
      <c r="X32" s="1560"/>
      <c r="Y32" s="1560"/>
      <c r="Z32" s="1560"/>
      <c r="AB32" s="1135">
        <v>16</v>
      </c>
      <c r="AC32" s="1136" t="s">
        <v>1296</v>
      </c>
      <c r="AD32" s="1137"/>
    </row>
    <row r="33" spans="1:30" ht="19.5" customHeight="1">
      <c r="C33" s="322"/>
      <c r="D33" s="279"/>
      <c r="E33" s="279"/>
      <c r="F33" s="946" t="s">
        <v>546</v>
      </c>
      <c r="G33" s="947" t="s">
        <v>811</v>
      </c>
      <c r="H33" s="945"/>
      <c r="I33" s="942" t="str">
        <f>IF(J33="","※","")</f>
        <v>※</v>
      </c>
      <c r="J33" s="943"/>
      <c r="Q33" s="1557"/>
      <c r="R33" s="1558"/>
      <c r="S33" s="1558" t="s">
        <v>648</v>
      </c>
      <c r="T33" s="1558"/>
      <c r="U33" s="1558"/>
      <c r="V33" s="1558"/>
      <c r="W33" s="1558"/>
      <c r="X33" s="1558"/>
      <c r="Y33" s="1558"/>
      <c r="Z33" s="1558"/>
      <c r="AB33" s="1135">
        <v>17</v>
      </c>
      <c r="AC33" s="1136" t="s">
        <v>1297</v>
      </c>
      <c r="AD33" s="1137"/>
    </row>
    <row r="34" spans="1:30" ht="19.5" customHeight="1">
      <c r="C34" s="322"/>
      <c r="D34" s="279"/>
      <c r="E34" s="279"/>
      <c r="F34" s="946" t="s">
        <v>547</v>
      </c>
      <c r="G34" s="947" t="s">
        <v>812</v>
      </c>
      <c r="H34" s="945"/>
      <c r="I34" s="942" t="str">
        <f>IF(J34="","※","")</f>
        <v>※</v>
      </c>
      <c r="J34" s="943"/>
      <c r="Q34" s="1557"/>
      <c r="R34" s="1558"/>
      <c r="S34" s="1558" t="s">
        <v>648</v>
      </c>
      <c r="T34" s="1558"/>
      <c r="U34" s="1558"/>
      <c r="V34" s="1558"/>
      <c r="W34" s="1558"/>
      <c r="X34" s="1558"/>
      <c r="Y34" s="1558"/>
      <c r="Z34" s="1558"/>
      <c r="AB34" s="1135">
        <v>18</v>
      </c>
      <c r="AC34" s="1136" t="s">
        <v>1298</v>
      </c>
      <c r="AD34" s="1137"/>
    </row>
    <row r="35" spans="1:30" ht="19.5" customHeight="1">
      <c r="C35" s="322"/>
      <c r="D35" s="279"/>
      <c r="E35" s="279"/>
      <c r="F35" s="1297" t="s">
        <v>548</v>
      </c>
      <c r="G35" s="947" t="s">
        <v>813</v>
      </c>
      <c r="H35" s="945"/>
      <c r="I35" s="942" t="str">
        <f>IF(J35="","※","")</f>
        <v>※</v>
      </c>
      <c r="J35" s="943"/>
      <c r="K35" s="2290" t="str">
        <f>IF(I36="E","「ト 営繕費」より「A）快適ﾄｲﾚ費用」が大きくなっています","")</f>
        <v/>
      </c>
      <c r="L35" s="2285"/>
      <c r="M35" s="2285"/>
      <c r="N35" s="2285"/>
      <c r="Q35" s="1557"/>
      <c r="R35" s="1558"/>
      <c r="S35" s="1558" t="s">
        <v>648</v>
      </c>
      <c r="T35" s="1558"/>
      <c r="U35" s="1558"/>
      <c r="V35" s="1558"/>
      <c r="W35" s="1558"/>
      <c r="X35" s="1558"/>
      <c r="Y35" s="1558"/>
      <c r="Z35" s="1558"/>
      <c r="AB35" s="1135">
        <v>19</v>
      </c>
      <c r="AC35" s="1138" t="s">
        <v>1299</v>
      </c>
      <c r="AD35" s="1137"/>
    </row>
    <row r="36" spans="1:30" s="1295" customFormat="1" ht="19.5" customHeight="1">
      <c r="A36" s="3"/>
      <c r="B36" s="3"/>
      <c r="C36" s="322"/>
      <c r="D36" s="279"/>
      <c r="E36" s="279"/>
      <c r="F36" s="1299"/>
      <c r="G36" s="1301" t="s">
        <v>1746</v>
      </c>
      <c r="H36" s="1296"/>
      <c r="I36" s="942" t="str">
        <f>IF(J36="","※",IF(J35&lt;J36,"E",""))</f>
        <v>※</v>
      </c>
      <c r="J36" s="943"/>
      <c r="K36" s="86"/>
      <c r="L36" s="217"/>
      <c r="M36" s="217"/>
      <c r="N36" s="217"/>
      <c r="O36" s="217"/>
      <c r="P36" s="217"/>
      <c r="Q36" s="1559"/>
      <c r="R36" s="1560"/>
      <c r="S36" s="1560"/>
      <c r="T36" s="1560"/>
      <c r="U36" s="1560"/>
      <c r="V36" s="1560"/>
      <c r="W36" s="1560"/>
      <c r="X36" s="1560"/>
      <c r="Y36" s="1560"/>
      <c r="Z36" s="1560"/>
    </row>
    <row r="37" spans="1:30" ht="19.5" customHeight="1">
      <c r="C37" s="322"/>
      <c r="D37" s="1300"/>
      <c r="E37" s="327"/>
      <c r="F37" s="1298" t="s">
        <v>549</v>
      </c>
      <c r="G37" s="937" t="s">
        <v>814</v>
      </c>
      <c r="H37" s="938"/>
      <c r="I37" s="838" t="str">
        <f>IF(J37="","※","")</f>
        <v>※</v>
      </c>
      <c r="J37" s="939"/>
      <c r="Q37" s="1561"/>
      <c r="R37" s="1562"/>
      <c r="S37" s="1562" t="s">
        <v>648</v>
      </c>
      <c r="T37" s="1562"/>
      <c r="U37" s="1562"/>
      <c r="V37" s="1562"/>
      <c r="W37" s="1562"/>
      <c r="X37" s="1562"/>
      <c r="Y37" s="1562"/>
      <c r="Z37" s="1562"/>
    </row>
    <row r="38" spans="1:30" ht="19.5" customHeight="1">
      <c r="C38" s="322"/>
      <c r="D38" s="1300"/>
      <c r="E38" s="320" t="s">
        <v>695</v>
      </c>
      <c r="F38" s="328" t="s">
        <v>815</v>
      </c>
      <c r="G38" s="328"/>
      <c r="H38" s="329"/>
      <c r="I38" s="160" t="str">
        <f>IF(J38="","※","")</f>
        <v>※</v>
      </c>
      <c r="J38" s="918"/>
      <c r="K38" s="49" t="s">
        <v>786</v>
      </c>
      <c r="Q38" s="1546" t="s">
        <v>648</v>
      </c>
      <c r="R38" s="1507" t="s">
        <v>648</v>
      </c>
      <c r="S38" s="1547"/>
      <c r="T38" s="1547"/>
      <c r="U38" s="1547"/>
      <c r="V38" s="1547"/>
      <c r="W38" s="1547"/>
      <c r="X38" s="1547"/>
      <c r="Y38" s="1547"/>
      <c r="Z38" s="1547"/>
    </row>
    <row r="39" spans="1:30" ht="19.5" customHeight="1">
      <c r="C39" s="322"/>
      <c r="D39" s="330"/>
      <c r="E39" s="320" t="s">
        <v>696</v>
      </c>
      <c r="F39" s="1489" t="s">
        <v>1780</v>
      </c>
      <c r="G39" s="328"/>
      <c r="H39" s="329"/>
      <c r="I39" s="160" t="str">
        <f>IF(J39="","※","")</f>
        <v>※</v>
      </c>
      <c r="J39" s="918"/>
      <c r="K39" s="49" t="s">
        <v>786</v>
      </c>
      <c r="Q39" s="1546" t="s">
        <v>648</v>
      </c>
      <c r="R39" s="1507" t="s">
        <v>648</v>
      </c>
      <c r="S39" s="1547"/>
      <c r="T39" s="1547"/>
      <c r="U39" s="1547"/>
      <c r="V39" s="1547"/>
      <c r="W39" s="1547"/>
      <c r="X39" s="1547"/>
      <c r="Y39" s="1547"/>
      <c r="Z39" s="1547"/>
    </row>
    <row r="40" spans="1:30" ht="19.5" customHeight="1">
      <c r="C40" s="322"/>
      <c r="D40" s="330"/>
      <c r="E40" s="323" t="s">
        <v>436</v>
      </c>
      <c r="F40" s="1490" t="s">
        <v>1781</v>
      </c>
      <c r="G40" s="331"/>
      <c r="H40" s="332"/>
      <c r="I40" s="160" t="str">
        <f>IF(J40="","※","")</f>
        <v>※</v>
      </c>
      <c r="J40" s="918"/>
      <c r="Q40" s="1563" t="s">
        <v>648</v>
      </c>
      <c r="R40" s="1507" t="s">
        <v>648</v>
      </c>
      <c r="S40" s="1564"/>
      <c r="T40" s="1564"/>
      <c r="U40" s="1564"/>
      <c r="V40" s="1564"/>
      <c r="W40" s="1564"/>
      <c r="X40" s="1564"/>
      <c r="Y40" s="1564"/>
      <c r="Z40" s="1564"/>
    </row>
    <row r="41" spans="1:30" s="2062" customFormat="1" ht="19.5" customHeight="1">
      <c r="A41" s="3"/>
      <c r="B41" s="3"/>
      <c r="C41" s="322"/>
      <c r="D41" s="330"/>
      <c r="E41" s="1803" t="s">
        <v>2325</v>
      </c>
      <c r="F41" s="1490" t="s">
        <v>2326</v>
      </c>
      <c r="G41" s="331"/>
      <c r="H41" s="332"/>
      <c r="I41" s="160" t="str">
        <f>IF(J41="","※","")</f>
        <v>※</v>
      </c>
      <c r="J41" s="918"/>
      <c r="K41" s="86"/>
      <c r="L41" s="217"/>
      <c r="M41" s="217"/>
      <c r="N41" s="217"/>
      <c r="O41" s="217"/>
      <c r="P41" s="217"/>
      <c r="Q41" s="1563" t="s">
        <v>648</v>
      </c>
      <c r="R41" s="1507" t="s">
        <v>648</v>
      </c>
      <c r="S41" s="1564"/>
      <c r="T41" s="1564"/>
      <c r="U41" s="1564"/>
      <c r="V41" s="1564"/>
      <c r="W41" s="1564"/>
      <c r="X41" s="1564"/>
      <c r="Y41" s="1564"/>
      <c r="Z41" s="1564"/>
    </row>
    <row r="42" spans="1:30" ht="19.5" hidden="1" customHeight="1">
      <c r="C42" s="839"/>
      <c r="D42" s="840"/>
      <c r="E42" s="833"/>
      <c r="F42" s="840"/>
      <c r="G42" s="840"/>
      <c r="H42" s="840"/>
      <c r="I42" s="701"/>
      <c r="J42" s="834"/>
      <c r="Q42" s="1565"/>
      <c r="R42" s="1566"/>
      <c r="S42" s="1566"/>
      <c r="T42" s="1566"/>
      <c r="U42" s="1566"/>
      <c r="V42" s="1566"/>
      <c r="W42" s="1566"/>
      <c r="X42" s="1566"/>
      <c r="Y42" s="1566"/>
      <c r="Z42" s="1566"/>
    </row>
    <row r="43" spans="1:30" ht="19.5" hidden="1" customHeight="1">
      <c r="C43" s="839"/>
      <c r="D43" s="840"/>
      <c r="E43" s="833"/>
      <c r="F43" s="840"/>
      <c r="G43" s="840"/>
      <c r="H43" s="840"/>
      <c r="I43" s="701"/>
      <c r="J43" s="834"/>
      <c r="Q43" s="1565"/>
      <c r="R43" s="1566"/>
      <c r="S43" s="1566"/>
      <c r="T43" s="1566"/>
      <c r="U43" s="1566"/>
      <c r="V43" s="1566"/>
      <c r="W43" s="1566"/>
      <c r="X43" s="1566"/>
      <c r="Y43" s="1566"/>
      <c r="Z43" s="1566"/>
    </row>
    <row r="44" spans="1:30" ht="19.5" hidden="1" customHeight="1">
      <c r="C44" s="841"/>
      <c r="D44" s="842"/>
      <c r="E44" s="836"/>
      <c r="F44" s="842"/>
      <c r="G44" s="842"/>
      <c r="H44" s="842"/>
      <c r="I44" s="702"/>
      <c r="J44" s="843"/>
      <c r="Q44" s="1567"/>
      <c r="R44" s="1568"/>
      <c r="S44" s="1568"/>
      <c r="T44" s="1568"/>
      <c r="U44" s="1568"/>
      <c r="V44" s="1568"/>
      <c r="W44" s="1568"/>
      <c r="X44" s="1568"/>
      <c r="Y44" s="1568"/>
      <c r="Z44" s="1568"/>
      <c r="AA44" s="242"/>
      <c r="AB44" s="242"/>
      <c r="AC44" s="242"/>
      <c r="AD44" s="242"/>
    </row>
    <row r="45" spans="1:30" ht="19.5" customHeight="1">
      <c r="C45" s="322"/>
      <c r="D45" s="44" t="s">
        <v>178</v>
      </c>
      <c r="E45" s="328" t="s">
        <v>369</v>
      </c>
      <c r="F45" s="328"/>
      <c r="G45" s="328"/>
      <c r="H45" s="329"/>
      <c r="I45" s="160" t="str">
        <f>IF(J45="","※","")</f>
        <v>※</v>
      </c>
      <c r="J45" s="319"/>
      <c r="Q45" s="1546" t="s">
        <v>648</v>
      </c>
      <c r="R45" s="1547"/>
      <c r="S45" s="1547"/>
      <c r="T45" s="1547"/>
      <c r="U45" s="1547"/>
      <c r="V45" s="1547"/>
      <c r="W45" s="1547"/>
      <c r="X45" s="1547"/>
      <c r="Y45" s="1547"/>
      <c r="Z45" s="1547"/>
    </row>
    <row r="46" spans="1:30" ht="19.5" customHeight="1">
      <c r="C46" s="322"/>
      <c r="D46" s="2064" t="s">
        <v>179</v>
      </c>
      <c r="E46" s="2065" t="s">
        <v>180</v>
      </c>
      <c r="F46" s="2065"/>
      <c r="G46" s="2065"/>
      <c r="H46" s="2066"/>
      <c r="I46" s="838" t="str">
        <f>IF(J46="","※","")</f>
        <v>※</v>
      </c>
      <c r="J46" s="2068"/>
      <c r="K46" s="49" t="s">
        <v>786</v>
      </c>
      <c r="Q46" s="1546" t="s">
        <v>648</v>
      </c>
      <c r="R46" s="1547"/>
      <c r="S46" s="1547"/>
      <c r="T46" s="1547"/>
      <c r="U46" s="1547"/>
      <c r="V46" s="1547"/>
      <c r="W46" s="1547"/>
      <c r="X46" s="1547"/>
      <c r="Y46" s="1547"/>
      <c r="Z46" s="1547"/>
    </row>
    <row r="47" spans="1:30" s="2062" customFormat="1" ht="19.5" customHeight="1">
      <c r="A47" s="3"/>
      <c r="B47" s="3"/>
      <c r="C47" s="322"/>
      <c r="D47" s="2067"/>
      <c r="E47" s="2072" t="s">
        <v>2327</v>
      </c>
      <c r="F47" s="2069"/>
      <c r="G47" s="2069"/>
      <c r="H47" s="2070"/>
      <c r="I47" s="1029" t="str">
        <f>IF(J47="","※","")</f>
        <v>※</v>
      </c>
      <c r="J47" s="2071"/>
      <c r="K47" s="49"/>
      <c r="L47" s="217"/>
      <c r="M47" s="217"/>
      <c r="N47" s="217"/>
      <c r="O47" s="217"/>
      <c r="P47" s="217"/>
      <c r="Q47" s="1546"/>
      <c r="R47" s="1504"/>
      <c r="S47" s="1504"/>
      <c r="T47" s="1504"/>
      <c r="U47" s="1504"/>
      <c r="V47" s="1504"/>
      <c r="W47" s="1504"/>
      <c r="X47" s="1504"/>
      <c r="Y47" s="1504"/>
      <c r="Z47" s="1504"/>
    </row>
    <row r="48" spans="1:30" s="48" customFormat="1" ht="19.5" customHeight="1">
      <c r="A48" s="3"/>
      <c r="B48" s="3"/>
      <c r="C48" s="322"/>
      <c r="D48" s="585" t="s">
        <v>769</v>
      </c>
      <c r="E48" s="2368" t="s">
        <v>770</v>
      </c>
      <c r="F48" s="2368"/>
      <c r="G48" s="2368"/>
      <c r="H48" s="2369"/>
      <c r="I48" s="159"/>
      <c r="J48" s="164">
        <f>SUMIF(U8:U351,"○",$J$8:$J$351)</f>
        <v>0</v>
      </c>
      <c r="K48" s="86"/>
      <c r="L48" s="217"/>
      <c r="M48" s="217"/>
      <c r="N48" s="217"/>
      <c r="O48" s="217"/>
      <c r="P48" s="217"/>
      <c r="Q48" s="1505" t="s">
        <v>648</v>
      </c>
      <c r="R48" s="1506"/>
      <c r="S48" s="1506"/>
      <c r="T48" s="1506"/>
      <c r="U48" s="1506"/>
      <c r="V48" s="1506"/>
      <c r="W48" s="1506"/>
      <c r="X48" s="1506"/>
      <c r="Y48" s="1506"/>
      <c r="Z48" s="1506"/>
    </row>
    <row r="49" spans="1:26" ht="27.75" customHeight="1">
      <c r="C49" s="322"/>
      <c r="D49" s="586"/>
      <c r="E49" s="623" t="s">
        <v>771</v>
      </c>
      <c r="F49" s="2304" t="s">
        <v>772</v>
      </c>
      <c r="G49" s="2304"/>
      <c r="H49" s="2305"/>
      <c r="I49" s="1028" t="str">
        <f>IF(J49="","※","")</f>
        <v>※</v>
      </c>
      <c r="J49" s="587"/>
      <c r="Q49" s="1549"/>
      <c r="R49" s="1550"/>
      <c r="S49" s="1550"/>
      <c r="T49" s="1550"/>
      <c r="U49" s="1550" t="s">
        <v>648</v>
      </c>
      <c r="V49" s="1550"/>
      <c r="W49" s="1550"/>
      <c r="X49" s="1550"/>
      <c r="Y49" s="1550"/>
      <c r="Z49" s="1550"/>
    </row>
    <row r="50" spans="1:26" s="1004" customFormat="1" ht="27.75" customHeight="1">
      <c r="A50" s="3"/>
      <c r="B50" s="3"/>
      <c r="C50" s="322"/>
      <c r="D50" s="1005"/>
      <c r="E50" s="1006" t="s">
        <v>1093</v>
      </c>
      <c r="F50" s="2382" t="s">
        <v>1094</v>
      </c>
      <c r="G50" s="2382"/>
      <c r="H50" s="2383"/>
      <c r="I50" s="1029" t="str">
        <f>IF(J50="","※","")</f>
        <v>※</v>
      </c>
      <c r="J50" s="1030"/>
      <c r="K50" s="86"/>
      <c r="L50" s="217"/>
      <c r="M50" s="217"/>
      <c r="N50" s="217"/>
      <c r="O50" s="217"/>
      <c r="P50" s="217"/>
      <c r="Q50" s="1554"/>
      <c r="R50" s="1555"/>
      <c r="S50" s="1555"/>
      <c r="T50" s="1555"/>
      <c r="U50" s="1569" t="s">
        <v>1095</v>
      </c>
      <c r="V50" s="1555"/>
      <c r="W50" s="1555"/>
      <c r="X50" s="1555"/>
      <c r="Y50" s="1555"/>
      <c r="Z50" s="1555"/>
    </row>
    <row r="51" spans="1:26" ht="19.5" customHeight="1">
      <c r="C51" s="322"/>
      <c r="D51" s="585" t="s">
        <v>367</v>
      </c>
      <c r="E51" s="2307" t="s">
        <v>2271</v>
      </c>
      <c r="F51" s="2307"/>
      <c r="G51" s="2307"/>
      <c r="H51" s="2308"/>
      <c r="I51" s="160" t="str">
        <f>IF(J51="","※","")</f>
        <v>※</v>
      </c>
      <c r="J51" s="319"/>
      <c r="K51" s="217"/>
      <c r="Q51" s="1563" t="s">
        <v>648</v>
      </c>
      <c r="R51" s="1564"/>
      <c r="S51" s="1564"/>
      <c r="T51" s="1564"/>
      <c r="U51" s="1564"/>
      <c r="V51" s="1564"/>
      <c r="W51" s="1564"/>
      <c r="X51" s="1564"/>
      <c r="Y51" s="1564"/>
      <c r="Z51" s="1564"/>
    </row>
    <row r="52" spans="1:26" ht="19.5" hidden="1" customHeight="1">
      <c r="C52" s="1536" t="s">
        <v>655</v>
      </c>
      <c r="D52" s="1537"/>
      <c r="E52" s="1538"/>
      <c r="F52" s="2306"/>
      <c r="G52" s="2306"/>
      <c r="H52" s="2306"/>
      <c r="I52" s="1496"/>
      <c r="J52" s="1539"/>
      <c r="Q52" s="1570"/>
      <c r="R52" s="1571"/>
      <c r="S52" s="1571"/>
      <c r="T52" s="1571"/>
      <c r="U52" s="1571"/>
      <c r="V52" s="1571"/>
      <c r="W52" s="1571"/>
      <c r="X52" s="1571"/>
      <c r="Y52" s="1571"/>
      <c r="Z52" s="1571"/>
    </row>
    <row r="53" spans="1:26" ht="19.5" hidden="1" customHeight="1">
      <c r="C53" s="1540"/>
      <c r="D53" s="1541"/>
      <c r="E53" s="1541"/>
      <c r="F53" s="1541"/>
      <c r="G53" s="1541"/>
      <c r="H53" s="1541"/>
      <c r="I53" s="1497"/>
      <c r="J53" s="837"/>
      <c r="L53" s="5"/>
      <c r="M53" s="5"/>
      <c r="N53" s="908"/>
      <c r="O53" s="5"/>
      <c r="P53" s="5"/>
      <c r="Q53" s="1572"/>
      <c r="R53" s="1573"/>
      <c r="S53" s="1573"/>
      <c r="T53" s="1573"/>
      <c r="U53" s="1573"/>
      <c r="V53" s="1573"/>
      <c r="W53" s="1573"/>
      <c r="X53" s="1573"/>
      <c r="Y53" s="1573"/>
      <c r="Z53" s="1573"/>
    </row>
    <row r="54" spans="1:26" s="911" customFormat="1" ht="21" customHeight="1">
      <c r="A54" s="3"/>
      <c r="B54" s="3"/>
      <c r="C54" s="43" t="s">
        <v>1017</v>
      </c>
      <c r="D54" s="913" t="s">
        <v>1084</v>
      </c>
      <c r="E54" s="913"/>
      <c r="F54" s="913"/>
      <c r="G54" s="913"/>
      <c r="H54" s="914"/>
      <c r="I54" s="160" t="str">
        <f t="shared" ref="I54" si="2">IF(J54="","※","")</f>
        <v>※</v>
      </c>
      <c r="J54" s="915"/>
      <c r="K54" s="86"/>
      <c r="L54" s="217"/>
      <c r="M54" s="217"/>
      <c r="N54" s="217"/>
      <c r="O54" s="217"/>
      <c r="P54" s="217"/>
      <c r="Q54" s="1503"/>
      <c r="R54" s="1568"/>
      <c r="S54" s="1568"/>
      <c r="T54" s="1568"/>
      <c r="U54" s="1568"/>
      <c r="V54" s="1547" t="s">
        <v>648</v>
      </c>
      <c r="W54" s="1568"/>
      <c r="X54" s="1568"/>
      <c r="Y54" s="1568"/>
      <c r="Z54" s="1568"/>
    </row>
    <row r="55" spans="1:26" s="48" customFormat="1" ht="27.75" customHeight="1">
      <c r="A55" s="3"/>
      <c r="B55" s="3"/>
      <c r="C55" s="46" t="s">
        <v>65</v>
      </c>
      <c r="D55" s="2384" t="s">
        <v>522</v>
      </c>
      <c r="E55" s="2385"/>
      <c r="F55" s="2385"/>
      <c r="G55" s="2385"/>
      <c r="H55" s="2385"/>
      <c r="I55" s="160" t="str">
        <f>IF(J55="","※","")</f>
        <v>※</v>
      </c>
      <c r="J55" s="319"/>
      <c r="K55" s="86"/>
      <c r="L55" s="217"/>
      <c r="M55" s="217"/>
      <c r="N55" s="217"/>
      <c r="O55" s="217"/>
      <c r="P55" s="217"/>
      <c r="Q55" s="1546"/>
      <c r="R55" s="1547"/>
      <c r="S55" s="1547"/>
      <c r="T55" s="1547"/>
      <c r="U55" s="1547"/>
      <c r="V55" s="1547" t="s">
        <v>648</v>
      </c>
      <c r="W55" s="1547"/>
      <c r="X55" s="1547"/>
      <c r="Y55" s="1547"/>
      <c r="Z55" s="1547"/>
    </row>
    <row r="56" spans="1:26" s="48" customFormat="1" ht="19.5" customHeight="1">
      <c r="A56" s="3"/>
      <c r="B56" s="3"/>
      <c r="C56" s="46" t="s">
        <v>66</v>
      </c>
      <c r="D56" s="7" t="s">
        <v>67</v>
      </c>
      <c r="E56" s="7"/>
      <c r="F56" s="7"/>
      <c r="G56" s="7"/>
      <c r="H56" s="6"/>
      <c r="I56" s="159" t="str">
        <f>IF(J56="","※","")</f>
        <v>※</v>
      </c>
      <c r="J56" s="319"/>
      <c r="K56" s="86"/>
      <c r="L56" s="217"/>
      <c r="M56" s="217"/>
      <c r="N56" s="217"/>
      <c r="O56" s="217"/>
      <c r="P56" s="217"/>
      <c r="Q56" s="1546"/>
      <c r="R56" s="1547"/>
      <c r="S56" s="1547"/>
      <c r="T56" s="1547"/>
      <c r="U56" s="1547"/>
      <c r="V56" s="1547" t="s">
        <v>648</v>
      </c>
      <c r="W56" s="1547"/>
      <c r="X56" s="1547"/>
      <c r="Y56" s="1547"/>
      <c r="Z56" s="1547"/>
    </row>
    <row r="57" spans="1:26" s="48" customFormat="1" ht="19.5" customHeight="1">
      <c r="A57" s="3"/>
      <c r="B57" s="3"/>
      <c r="C57" s="46" t="s">
        <v>816</v>
      </c>
      <c r="D57" s="7" t="s">
        <v>370</v>
      </c>
      <c r="E57" s="7"/>
      <c r="F57" s="7"/>
      <c r="G57" s="7"/>
      <c r="H57" s="6"/>
      <c r="I57" s="149"/>
      <c r="J57" s="163">
        <f>SUMIF($V$8:$V$351,"○",J8:J351)</f>
        <v>0</v>
      </c>
      <c r="K57" s="122"/>
      <c r="L57" s="638"/>
      <c r="M57" s="638"/>
      <c r="N57" s="638"/>
      <c r="O57" s="638"/>
      <c r="P57" s="638"/>
      <c r="Q57" s="1511"/>
      <c r="R57" s="1512"/>
      <c r="S57" s="1512"/>
      <c r="T57" s="1512"/>
      <c r="U57" s="1512"/>
      <c r="V57" s="1512"/>
      <c r="W57" s="1512"/>
      <c r="X57" s="1512"/>
      <c r="Y57" s="1512"/>
      <c r="Z57" s="1512"/>
    </row>
    <row r="58" spans="1:26" s="48" customFormat="1" ht="33.75" customHeight="1">
      <c r="A58" s="4"/>
      <c r="B58" s="4"/>
      <c r="C58" s="91"/>
      <c r="I58" s="161"/>
      <c r="J58" s="102"/>
      <c r="K58" s="143"/>
      <c r="L58" s="143"/>
      <c r="M58" s="143"/>
      <c r="N58" s="143"/>
      <c r="O58" s="143"/>
      <c r="P58" s="143"/>
      <c r="Q58" s="674"/>
      <c r="R58" s="674"/>
      <c r="S58" s="674"/>
      <c r="T58" s="674"/>
      <c r="U58" s="674"/>
      <c r="V58" s="674"/>
      <c r="W58" s="674"/>
      <c r="X58" s="674"/>
      <c r="Y58" s="674"/>
      <c r="Z58" s="674"/>
    </row>
    <row r="59" spans="1:26" s="48" customFormat="1" ht="20.25" customHeight="1">
      <c r="A59" s="3"/>
      <c r="B59" s="3"/>
      <c r="C59" s="706"/>
      <c r="D59" s="707" t="s">
        <v>709</v>
      </c>
      <c r="E59" s="708"/>
      <c r="F59" s="708"/>
      <c r="G59" s="708"/>
      <c r="H59" s="709"/>
      <c r="I59" s="149" t="str">
        <f>IF(J59="","※","")</f>
        <v>※</v>
      </c>
      <c r="J59" s="319"/>
      <c r="K59" s="122"/>
      <c r="L59" s="638"/>
      <c r="M59" s="638"/>
      <c r="N59" s="638"/>
      <c r="O59" s="638"/>
      <c r="P59" s="638"/>
      <c r="Q59" s="1546"/>
      <c r="R59" s="1547"/>
      <c r="S59" s="1547"/>
      <c r="T59" s="1547"/>
      <c r="U59" s="1547"/>
      <c r="V59" s="1547"/>
      <c r="W59" s="1547"/>
      <c r="X59" s="1547"/>
      <c r="Y59" s="1547"/>
      <c r="Z59" s="1547"/>
    </row>
    <row r="60" spans="1:26" s="48" customFormat="1" ht="20.25" customHeight="1">
      <c r="A60" s="241"/>
      <c r="B60" s="241"/>
      <c r="C60" s="221"/>
      <c r="D60" s="222" t="s">
        <v>479</v>
      </c>
      <c r="E60" s="223"/>
      <c r="F60" s="223"/>
      <c r="G60" s="223"/>
      <c r="H60" s="224"/>
      <c r="I60" s="158" t="str">
        <f>IF(J60&lt;0,"E","")</f>
        <v/>
      </c>
      <c r="J60" s="698">
        <f>(SUMIF(W8:W60,"○",J8:J60))-J164</f>
        <v>0</v>
      </c>
      <c r="K60" s="928"/>
      <c r="L60" s="639"/>
      <c r="M60" s="639"/>
      <c r="N60" s="639"/>
      <c r="O60" s="639"/>
      <c r="P60" s="639"/>
      <c r="Q60" s="1513"/>
      <c r="R60" s="1514"/>
      <c r="S60" s="1514"/>
      <c r="T60" s="1514"/>
      <c r="U60" s="1514"/>
      <c r="V60" s="1514"/>
      <c r="W60" s="1514"/>
      <c r="X60" s="1514"/>
      <c r="Y60" s="1514"/>
      <c r="Z60" s="1514"/>
    </row>
    <row r="61" spans="1:26" s="48" customFormat="1" ht="45.75" hidden="1" customHeight="1">
      <c r="A61" s="1021"/>
      <c r="B61" s="1021"/>
      <c r="C61" s="2319" t="s">
        <v>480</v>
      </c>
      <c r="D61" s="2320"/>
      <c r="E61" s="2320"/>
      <c r="F61" s="2320"/>
      <c r="G61" s="2320"/>
      <c r="H61" s="2320"/>
      <c r="I61" s="2320"/>
      <c r="J61" s="2320"/>
      <c r="K61" s="47"/>
      <c r="L61" s="640"/>
      <c r="M61" s="640"/>
      <c r="N61" s="640"/>
      <c r="O61" s="640"/>
      <c r="P61" s="640"/>
      <c r="Q61" s="97"/>
      <c r="R61" s="97"/>
      <c r="S61" s="97"/>
      <c r="T61" s="59"/>
      <c r="U61" s="59"/>
      <c r="V61" s="87"/>
      <c r="W61" s="87"/>
      <c r="X61" s="87"/>
      <c r="Y61" s="87"/>
      <c r="Z61" s="97"/>
    </row>
    <row r="62" spans="1:26" s="48" customFormat="1" ht="53.25" customHeight="1">
      <c r="A62" s="242"/>
      <c r="B62" s="242"/>
      <c r="C62" s="2321" t="s">
        <v>480</v>
      </c>
      <c r="D62" s="2322"/>
      <c r="E62" s="2322"/>
      <c r="F62" s="2322"/>
      <c r="G62" s="2322"/>
      <c r="H62" s="2322"/>
      <c r="I62" s="2322"/>
      <c r="J62" s="2322"/>
      <c r="K62" s="148"/>
      <c r="L62" s="641"/>
      <c r="M62" s="641"/>
      <c r="N62" s="641"/>
      <c r="O62" s="641"/>
      <c r="P62" s="641"/>
      <c r="Q62" s="97"/>
      <c r="R62" s="97"/>
      <c r="S62" s="97"/>
      <c r="T62" s="59"/>
      <c r="U62" s="59"/>
      <c r="V62" s="87"/>
      <c r="W62" s="87"/>
      <c r="X62" s="87"/>
      <c r="Y62" s="87"/>
      <c r="Z62" s="97"/>
    </row>
    <row r="63" spans="1:26" s="72" customFormat="1" ht="13.5" hidden="1" customHeight="1">
      <c r="A63" s="242"/>
      <c r="B63" s="242"/>
      <c r="C63" s="48"/>
      <c r="D63" s="658"/>
      <c r="E63" s="658"/>
      <c r="F63" s="658"/>
      <c r="G63" s="658"/>
      <c r="H63" s="658"/>
      <c r="I63" s="658"/>
      <c r="J63" s="658"/>
      <c r="K63" s="148"/>
      <c r="L63" s="641"/>
      <c r="M63" s="641"/>
      <c r="N63" s="641"/>
      <c r="O63" s="641"/>
      <c r="P63" s="641"/>
      <c r="Q63" s="59"/>
      <c r="R63" s="59"/>
      <c r="S63" s="59"/>
      <c r="T63" s="59"/>
      <c r="U63" s="59"/>
      <c r="V63" s="87"/>
      <c r="W63" s="87"/>
      <c r="X63" s="87"/>
      <c r="Y63" s="87"/>
      <c r="Z63" s="59"/>
    </row>
    <row r="64" spans="1:26" s="72" customFormat="1" ht="30" hidden="1" customHeight="1">
      <c r="A64" s="242"/>
      <c r="B64" s="23" t="s">
        <v>777</v>
      </c>
      <c r="C64" s="2365" t="s">
        <v>156</v>
      </c>
      <c r="D64" s="2366"/>
      <c r="E64" s="2367"/>
      <c r="F64" s="2360" t="s">
        <v>785</v>
      </c>
      <c r="G64" s="2361"/>
      <c r="H64" s="2361"/>
      <c r="I64" s="2361"/>
      <c r="J64" s="278" t="s">
        <v>523</v>
      </c>
      <c r="K64" s="641"/>
      <c r="L64" s="641"/>
      <c r="M64" s="641"/>
      <c r="N64" s="641"/>
      <c r="O64" s="641"/>
      <c r="P64" s="641"/>
      <c r="Q64" s="59"/>
      <c r="R64" s="59"/>
      <c r="S64" s="59"/>
      <c r="T64" s="59"/>
      <c r="U64" s="59"/>
      <c r="V64" s="87"/>
      <c r="W64" s="87"/>
      <c r="X64" s="87"/>
      <c r="Y64" s="87"/>
      <c r="Z64" s="59"/>
    </row>
    <row r="65" spans="1:26" s="72" customFormat="1" ht="13.5" hidden="1" customHeight="1">
      <c r="A65" s="242"/>
      <c r="B65" s="1"/>
      <c r="C65" s="18" t="s">
        <v>281</v>
      </c>
      <c r="D65" s="18"/>
      <c r="E65" s="13"/>
      <c r="F65" s="13"/>
      <c r="G65" s="13"/>
      <c r="H65" s="13"/>
      <c r="I65" s="158"/>
      <c r="J65" s="25" t="s">
        <v>778</v>
      </c>
      <c r="K65" s="641"/>
      <c r="L65" s="641"/>
      <c r="M65" s="641"/>
      <c r="N65" s="641"/>
      <c r="O65" s="641"/>
      <c r="P65" s="641"/>
      <c r="Q65" s="59"/>
      <c r="R65" s="59"/>
      <c r="S65" s="59"/>
      <c r="T65" s="59"/>
      <c r="U65" s="59"/>
      <c r="V65" s="87"/>
      <c r="W65" s="87"/>
      <c r="X65" s="87"/>
      <c r="Y65" s="87"/>
      <c r="Z65" s="59"/>
    </row>
    <row r="66" spans="1:26" s="72" customFormat="1" ht="13.5" hidden="1" customHeight="1">
      <c r="A66" s="242"/>
      <c r="B66" s="1"/>
      <c r="C66" s="766">
        <v>1</v>
      </c>
      <c r="D66" s="763"/>
      <c r="E66" s="951" t="s">
        <v>779</v>
      </c>
      <c r="F66" s="952"/>
      <c r="G66" s="952"/>
      <c r="H66" s="953"/>
      <c r="I66" s="153"/>
      <c r="J66" s="954"/>
      <c r="K66" s="757"/>
      <c r="L66" s="641"/>
      <c r="M66" s="641"/>
      <c r="N66" s="641"/>
      <c r="O66" s="641"/>
      <c r="P66" s="641"/>
      <c r="Q66" s="59"/>
      <c r="R66" s="59"/>
      <c r="S66" s="59"/>
      <c r="T66" s="59"/>
      <c r="U66" s="59"/>
      <c r="V66" s="87"/>
      <c r="W66" s="87"/>
      <c r="X66" s="87"/>
      <c r="Y66" s="87"/>
      <c r="Z66" s="59"/>
    </row>
    <row r="67" spans="1:26" s="72" customFormat="1" ht="13.5" hidden="1" customHeight="1">
      <c r="A67" s="242"/>
      <c r="B67" s="1"/>
      <c r="C67" s="713"/>
      <c r="D67" s="739"/>
      <c r="E67" s="955" t="s">
        <v>780</v>
      </c>
      <c r="F67" s="956"/>
      <c r="G67" s="956"/>
      <c r="H67" s="957"/>
      <c r="I67" s="936"/>
      <c r="J67" s="958"/>
      <c r="K67" s="756"/>
      <c r="L67" s="641"/>
      <c r="M67" s="641"/>
      <c r="N67" s="641"/>
      <c r="O67" s="641"/>
      <c r="P67" s="641"/>
      <c r="Q67" s="59"/>
      <c r="R67" s="59"/>
      <c r="S67" s="59"/>
      <c r="T67" s="59"/>
      <c r="U67" s="59"/>
      <c r="V67" s="87"/>
      <c r="W67" s="87"/>
      <c r="X67" s="87"/>
      <c r="Y67" s="87"/>
      <c r="Z67" s="59"/>
    </row>
    <row r="68" spans="1:26" s="72" customFormat="1" ht="13.5" hidden="1" customHeight="1">
      <c r="A68" s="242"/>
      <c r="B68" s="3"/>
      <c r="C68" s="713"/>
      <c r="D68" s="739"/>
      <c r="E68" s="959" t="s">
        <v>145</v>
      </c>
      <c r="F68" s="956"/>
      <c r="G68" s="956"/>
      <c r="H68" s="957"/>
      <c r="I68" s="936"/>
      <c r="J68" s="958"/>
      <c r="K68" s="758"/>
      <c r="L68" s="641"/>
      <c r="M68" s="641"/>
      <c r="N68" s="641"/>
      <c r="O68" s="641"/>
      <c r="P68" s="641"/>
      <c r="Q68" s="59"/>
      <c r="R68" s="59"/>
      <c r="S68" s="59"/>
      <c r="T68" s="59"/>
      <c r="U68" s="59"/>
      <c r="V68" s="87"/>
      <c r="W68" s="87"/>
      <c r="X68" s="87"/>
      <c r="Y68" s="87"/>
      <c r="Z68" s="59"/>
    </row>
    <row r="69" spans="1:26" s="72" customFormat="1" ht="13.5" hidden="1" customHeight="1">
      <c r="A69" s="242"/>
      <c r="B69" s="756"/>
      <c r="C69" s="15"/>
      <c r="D69" s="5"/>
      <c r="E69" s="955" t="str">
        <f>IF(OR(J68&gt;J67,J67="",J68=""),"④受注者負担額","④発注者負担額")</f>
        <v>④受注者負担額</v>
      </c>
      <c r="F69" s="956"/>
      <c r="G69" s="956"/>
      <c r="H69" s="957"/>
      <c r="I69" s="936"/>
      <c r="J69" s="1109"/>
      <c r="K69" s="759"/>
      <c r="L69" s="59"/>
      <c r="M69" s="59"/>
      <c r="N69" s="59"/>
      <c r="O69" s="59"/>
      <c r="P69" s="59"/>
      <c r="Q69" s="59"/>
      <c r="R69" s="59"/>
      <c r="S69" s="59"/>
      <c r="T69" s="59"/>
      <c r="U69" s="59"/>
      <c r="V69" s="87"/>
      <c r="W69" s="87"/>
      <c r="X69" s="87"/>
      <c r="Y69" s="87"/>
      <c r="Z69" s="59"/>
    </row>
    <row r="70" spans="1:26" s="48" customFormat="1" ht="13.5" hidden="1" customHeight="1">
      <c r="A70" s="242"/>
      <c r="B70" s="755"/>
      <c r="C70" s="762"/>
      <c r="D70" s="740"/>
      <c r="E70" s="960" t="s">
        <v>784</v>
      </c>
      <c r="F70" s="961"/>
      <c r="G70" s="961"/>
      <c r="H70" s="962"/>
      <c r="I70" s="154"/>
      <c r="J70" s="1110"/>
      <c r="K70" s="760"/>
      <c r="L70" s="59"/>
      <c r="M70" s="59"/>
      <c r="N70" s="59"/>
      <c r="O70" s="59"/>
      <c r="P70" s="59"/>
      <c r="Q70" s="59"/>
      <c r="R70" s="59"/>
      <c r="S70" s="59"/>
      <c r="T70" s="59"/>
      <c r="U70" s="59"/>
      <c r="V70" s="87"/>
      <c r="W70" s="87"/>
      <c r="X70" s="87"/>
      <c r="Y70" s="87"/>
      <c r="Z70" s="97"/>
    </row>
    <row r="71" spans="1:26" s="48" customFormat="1" ht="13.5" hidden="1" customHeight="1">
      <c r="A71" s="59"/>
      <c r="B71" s="758"/>
      <c r="C71" s="766">
        <v>2</v>
      </c>
      <c r="D71" s="763"/>
      <c r="E71" s="951" t="s">
        <v>779</v>
      </c>
      <c r="F71" s="952"/>
      <c r="G71" s="952"/>
      <c r="H71" s="953"/>
      <c r="I71" s="153"/>
      <c r="J71" s="954"/>
      <c r="K71" s="760"/>
      <c r="L71" s="59"/>
      <c r="M71" s="59"/>
      <c r="N71" s="59"/>
      <c r="O71" s="59"/>
      <c r="P71" s="59"/>
      <c r="Q71" s="662"/>
      <c r="R71" s="662"/>
      <c r="S71" s="662"/>
      <c r="T71" s="662"/>
      <c r="U71" s="662"/>
      <c r="V71" s="87"/>
      <c r="W71" s="87"/>
      <c r="X71" s="87"/>
      <c r="Y71" s="87"/>
      <c r="Z71" s="97"/>
    </row>
    <row r="72" spans="1:26" ht="13.5" hidden="1" customHeight="1">
      <c r="A72" s="59"/>
      <c r="B72" s="758"/>
      <c r="C72" s="713"/>
      <c r="D72" s="739"/>
      <c r="E72" s="955" t="s">
        <v>780</v>
      </c>
      <c r="F72" s="956"/>
      <c r="G72" s="956"/>
      <c r="H72" s="957"/>
      <c r="I72" s="936"/>
      <c r="J72" s="958"/>
      <c r="K72" s="760"/>
      <c r="L72" s="59"/>
      <c r="M72" s="59"/>
      <c r="N72" s="59"/>
      <c r="O72" s="59"/>
      <c r="P72" s="59"/>
      <c r="Q72" s="656"/>
      <c r="R72" s="656"/>
      <c r="S72" s="656"/>
      <c r="T72" s="656"/>
      <c r="U72" s="656"/>
    </row>
    <row r="73" spans="1:26" ht="13.5" hidden="1" customHeight="1">
      <c r="A73" s="59"/>
      <c r="B73" s="758"/>
      <c r="C73" s="713"/>
      <c r="D73" s="739"/>
      <c r="E73" s="959" t="s">
        <v>145</v>
      </c>
      <c r="F73" s="956"/>
      <c r="G73" s="956"/>
      <c r="H73" s="957"/>
      <c r="I73" s="936"/>
      <c r="J73" s="958"/>
      <c r="K73" s="760"/>
      <c r="L73" s="59"/>
      <c r="M73" s="59"/>
      <c r="N73" s="59"/>
      <c r="O73" s="59"/>
      <c r="P73" s="59"/>
      <c r="Q73" s="656"/>
      <c r="R73" s="656"/>
      <c r="S73" s="656"/>
      <c r="T73" s="656"/>
      <c r="U73" s="656"/>
    </row>
    <row r="74" spans="1:26" ht="13.5" hidden="1" customHeight="1">
      <c r="A74" s="59"/>
      <c r="B74" s="758"/>
      <c r="C74" s="15"/>
      <c r="E74" s="955" t="str">
        <f>IF(OR(J73&gt;J72,J72="",J73=""),"④受注者負担額","④発注者負担額")</f>
        <v>④受注者負担額</v>
      </c>
      <c r="F74" s="956"/>
      <c r="G74" s="956"/>
      <c r="H74" s="957"/>
      <c r="I74" s="936"/>
      <c r="J74" s="958"/>
      <c r="K74" s="760"/>
      <c r="L74" s="59"/>
      <c r="M74" s="59"/>
      <c r="N74" s="59"/>
      <c r="O74" s="59"/>
      <c r="P74" s="59"/>
      <c r="Q74" s="656"/>
      <c r="R74" s="656"/>
      <c r="S74" s="656"/>
      <c r="T74" s="656"/>
      <c r="U74" s="656"/>
    </row>
    <row r="75" spans="1:26" ht="13.5" hidden="1" customHeight="1">
      <c r="A75" s="59"/>
      <c r="B75" s="758"/>
      <c r="C75" s="762"/>
      <c r="D75" s="740"/>
      <c r="E75" s="960" t="s">
        <v>784</v>
      </c>
      <c r="F75" s="961"/>
      <c r="G75" s="961"/>
      <c r="H75" s="962"/>
      <c r="I75" s="154"/>
      <c r="J75" s="963"/>
      <c r="K75" s="760"/>
      <c r="L75" s="59"/>
      <c r="M75" s="59"/>
      <c r="N75" s="59"/>
      <c r="O75" s="59"/>
      <c r="P75" s="59"/>
      <c r="Q75" s="656"/>
      <c r="R75" s="656"/>
      <c r="S75" s="656"/>
      <c r="T75" s="656"/>
      <c r="U75" s="656"/>
    </row>
    <row r="76" spans="1:26" ht="13.5" hidden="1" customHeight="1">
      <c r="A76" s="59"/>
      <c r="B76" s="758"/>
      <c r="C76" s="766">
        <v>3</v>
      </c>
      <c r="D76" s="763"/>
      <c r="E76" s="951" t="s">
        <v>779</v>
      </c>
      <c r="F76" s="952"/>
      <c r="G76" s="952"/>
      <c r="H76" s="953"/>
      <c r="I76" s="153"/>
      <c r="J76" s="954"/>
      <c r="K76" s="758"/>
      <c r="L76" s="59"/>
      <c r="M76" s="59"/>
      <c r="N76" s="59"/>
      <c r="O76" s="59"/>
      <c r="P76" s="59"/>
      <c r="Q76" s="656"/>
      <c r="R76" s="656"/>
      <c r="S76" s="656"/>
      <c r="T76" s="656"/>
      <c r="U76" s="656"/>
    </row>
    <row r="77" spans="1:26" ht="13.5" hidden="1" customHeight="1">
      <c r="A77" s="59"/>
      <c r="B77" s="758"/>
      <c r="C77" s="713"/>
      <c r="D77" s="739"/>
      <c r="E77" s="955" t="s">
        <v>780</v>
      </c>
      <c r="F77" s="956"/>
      <c r="G77" s="956"/>
      <c r="H77" s="957"/>
      <c r="I77" s="936"/>
      <c r="J77" s="958"/>
      <c r="K77" s="758"/>
      <c r="L77" s="59"/>
      <c r="M77" s="59"/>
      <c r="N77" s="59"/>
      <c r="O77" s="59"/>
      <c r="P77" s="59"/>
      <c r="Q77" s="656"/>
      <c r="R77" s="656"/>
      <c r="S77" s="656"/>
      <c r="T77" s="656"/>
      <c r="U77" s="656"/>
    </row>
    <row r="78" spans="1:26" ht="13.5" hidden="1" customHeight="1">
      <c r="A78" s="242"/>
      <c r="B78" s="755"/>
      <c r="C78" s="713"/>
      <c r="D78" s="739"/>
      <c r="E78" s="959" t="s">
        <v>145</v>
      </c>
      <c r="F78" s="956"/>
      <c r="G78" s="956"/>
      <c r="H78" s="957"/>
      <c r="I78" s="936"/>
      <c r="J78" s="958"/>
      <c r="K78" s="758"/>
      <c r="L78" s="59"/>
      <c r="M78" s="59"/>
      <c r="N78" s="59"/>
      <c r="O78" s="59"/>
      <c r="P78" s="59"/>
      <c r="Q78" s="656"/>
      <c r="R78" s="656"/>
      <c r="S78" s="656"/>
      <c r="T78" s="656"/>
      <c r="U78" s="656"/>
    </row>
    <row r="79" spans="1:26" ht="13.5" hidden="1" customHeight="1">
      <c r="A79" s="4"/>
      <c r="B79" s="755"/>
      <c r="C79" s="15"/>
      <c r="E79" s="955" t="str">
        <f>IF(OR(J78&gt;J77,J77="",J78=""),"④受注者負担額","④発注者負担額")</f>
        <v>④受注者負担額</v>
      </c>
      <c r="F79" s="956"/>
      <c r="G79" s="956"/>
      <c r="H79" s="957"/>
      <c r="I79" s="936"/>
      <c r="J79" s="958"/>
      <c r="K79" s="754"/>
      <c r="L79" s="662"/>
      <c r="M79" s="662"/>
      <c r="N79" s="662"/>
      <c r="O79" s="662"/>
      <c r="P79" s="662"/>
      <c r="Q79" s="656"/>
      <c r="R79" s="656"/>
      <c r="S79" s="656"/>
      <c r="T79" s="656"/>
      <c r="U79" s="656"/>
    </row>
    <row r="80" spans="1:26" ht="13.5" hidden="1" customHeight="1">
      <c r="B80" s="764"/>
      <c r="C80" s="762"/>
      <c r="D80" s="740"/>
      <c r="E80" s="960" t="s">
        <v>784</v>
      </c>
      <c r="F80" s="961"/>
      <c r="G80" s="961"/>
      <c r="H80" s="962"/>
      <c r="I80" s="154"/>
      <c r="J80" s="963"/>
      <c r="K80" s="765"/>
      <c r="L80" s="656"/>
      <c r="M80" s="656"/>
      <c r="N80" s="656"/>
      <c r="O80" s="656"/>
      <c r="P80" s="656"/>
      <c r="Q80" s="656"/>
      <c r="R80" s="656"/>
      <c r="S80" s="656"/>
      <c r="T80" s="656"/>
      <c r="U80" s="656"/>
    </row>
    <row r="81" spans="2:21" ht="13.5" hidden="1" customHeight="1">
      <c r="B81" s="671"/>
      <c r="C81" s="766">
        <v>4</v>
      </c>
      <c r="D81" s="763"/>
      <c r="E81" s="951" t="s">
        <v>779</v>
      </c>
      <c r="F81" s="952"/>
      <c r="G81" s="952"/>
      <c r="H81" s="953"/>
      <c r="I81" s="153"/>
      <c r="J81" s="954"/>
      <c r="K81" s="765"/>
      <c r="L81" s="656"/>
      <c r="M81" s="656"/>
      <c r="N81" s="656"/>
      <c r="O81" s="656"/>
      <c r="P81" s="656"/>
      <c r="Q81" s="656"/>
      <c r="R81" s="656"/>
      <c r="S81" s="656"/>
      <c r="T81" s="656"/>
      <c r="U81" s="656"/>
    </row>
    <row r="82" spans="2:21" ht="13.5" hidden="1" customHeight="1">
      <c r="B82" s="671"/>
      <c r="C82" s="713"/>
      <c r="D82" s="739"/>
      <c r="E82" s="955" t="s">
        <v>780</v>
      </c>
      <c r="F82" s="956"/>
      <c r="G82" s="956"/>
      <c r="H82" s="957"/>
      <c r="I82" s="936"/>
      <c r="J82" s="958"/>
      <c r="K82" s="765"/>
      <c r="L82" s="656"/>
      <c r="M82" s="656"/>
      <c r="N82" s="656"/>
      <c r="O82" s="656"/>
      <c r="P82" s="656"/>
      <c r="Q82" s="656"/>
      <c r="R82" s="656"/>
      <c r="S82" s="656"/>
      <c r="T82" s="656"/>
      <c r="U82" s="656"/>
    </row>
    <row r="83" spans="2:21" ht="13.5" hidden="1" customHeight="1">
      <c r="B83" s="671"/>
      <c r="C83" s="713"/>
      <c r="D83" s="739"/>
      <c r="E83" s="959" t="s">
        <v>145</v>
      </c>
      <c r="F83" s="956"/>
      <c r="G83" s="956"/>
      <c r="H83" s="957"/>
      <c r="I83" s="936"/>
      <c r="J83" s="958"/>
      <c r="K83" s="765"/>
      <c r="L83" s="656"/>
      <c r="M83" s="656"/>
      <c r="N83" s="656"/>
      <c r="O83" s="656"/>
      <c r="P83" s="656"/>
      <c r="Q83" s="656"/>
      <c r="R83" s="656"/>
      <c r="S83" s="656"/>
      <c r="T83" s="656"/>
      <c r="U83" s="656"/>
    </row>
    <row r="84" spans="2:21" ht="13.5" hidden="1" customHeight="1">
      <c r="B84" s="671"/>
      <c r="C84" s="15"/>
      <c r="E84" s="955" t="str">
        <f>IF(OR(J83&gt;J82,J82="",J83=""),"④受注者負担額","④発注者負担額")</f>
        <v>④受注者負担額</v>
      </c>
      <c r="F84" s="956"/>
      <c r="G84" s="956"/>
      <c r="H84" s="957"/>
      <c r="I84" s="936"/>
      <c r="J84" s="958"/>
      <c r="K84" s="765"/>
      <c r="L84" s="656"/>
      <c r="M84" s="656"/>
      <c r="N84" s="656"/>
      <c r="O84" s="656"/>
      <c r="P84" s="656"/>
      <c r="Q84" s="656"/>
      <c r="R84" s="656"/>
      <c r="S84" s="656"/>
      <c r="T84" s="656"/>
      <c r="U84" s="656"/>
    </row>
    <row r="85" spans="2:21" ht="13.5" hidden="1" customHeight="1">
      <c r="B85" s="671"/>
      <c r="C85" s="762"/>
      <c r="D85" s="740"/>
      <c r="E85" s="960" t="s">
        <v>784</v>
      </c>
      <c r="F85" s="961"/>
      <c r="G85" s="961"/>
      <c r="H85" s="962"/>
      <c r="I85" s="154"/>
      <c r="J85" s="963"/>
      <c r="K85" s="765"/>
      <c r="L85" s="656"/>
      <c r="M85" s="656"/>
      <c r="N85" s="1113"/>
      <c r="O85" s="656"/>
      <c r="P85" s="656"/>
      <c r="Q85" s="656"/>
      <c r="R85" s="656"/>
      <c r="S85" s="656"/>
      <c r="T85" s="656"/>
      <c r="U85" s="656"/>
    </row>
    <row r="86" spans="2:21" hidden="1">
      <c r="B86" s="671"/>
      <c r="C86" s="767"/>
      <c r="D86" s="768"/>
      <c r="E86" s="769"/>
      <c r="F86" s="581"/>
      <c r="G86" s="581"/>
      <c r="H86" s="770"/>
      <c r="I86" s="455"/>
      <c r="J86" s="1542"/>
      <c r="K86" s="765"/>
      <c r="L86" s="656"/>
      <c r="M86" s="656"/>
      <c r="N86" s="656"/>
      <c r="O86" s="656"/>
      <c r="P86" s="656"/>
      <c r="Q86" s="656"/>
      <c r="R86" s="656"/>
      <c r="S86" s="656"/>
      <c r="T86" s="656"/>
      <c r="U86" s="656"/>
    </row>
    <row r="87" spans="2:21" hidden="1">
      <c r="B87" s="671"/>
      <c r="C87" s="771"/>
      <c r="D87" s="97"/>
      <c r="E87" s="771"/>
      <c r="F87" s="97"/>
      <c r="G87" s="97"/>
      <c r="H87" s="772"/>
      <c r="I87" s="151"/>
      <c r="J87" s="1543"/>
      <c r="K87" s="765"/>
      <c r="L87" s="656"/>
      <c r="M87" s="656"/>
      <c r="N87" s="656"/>
      <c r="O87" s="656"/>
      <c r="P87" s="656"/>
      <c r="Q87" s="656"/>
      <c r="R87" s="656"/>
      <c r="S87" s="656"/>
      <c r="T87" s="656"/>
      <c r="U87" s="656"/>
    </row>
    <row r="88" spans="2:21" ht="36" hidden="1" customHeight="1">
      <c r="B88" s="773" t="s">
        <v>146</v>
      </c>
      <c r="C88" s="774" t="s">
        <v>157</v>
      </c>
      <c r="D88" s="510"/>
      <c r="E88" s="10"/>
      <c r="F88" s="2360" t="s">
        <v>326</v>
      </c>
      <c r="G88" s="2361"/>
      <c r="H88" s="2361"/>
      <c r="I88" s="2361"/>
      <c r="J88" s="2370"/>
      <c r="K88" s="765"/>
      <c r="L88" s="656"/>
      <c r="M88" s="656"/>
      <c r="N88" s="656"/>
      <c r="O88" s="656"/>
      <c r="P88" s="656"/>
      <c r="Q88" s="656"/>
      <c r="R88" s="656"/>
      <c r="S88" s="656"/>
      <c r="T88" s="656"/>
      <c r="U88" s="656"/>
    </row>
    <row r="89" spans="2:21" ht="13.5" hidden="1" customHeight="1">
      <c r="B89" s="775"/>
      <c r="C89" s="776">
        <v>1</v>
      </c>
      <c r="D89" s="763"/>
      <c r="E89" s="966" t="s">
        <v>975</v>
      </c>
      <c r="F89" s="952"/>
      <c r="G89" s="952"/>
      <c r="H89" s="953"/>
      <c r="I89" s="153"/>
      <c r="J89" s="954"/>
      <c r="K89" s="765"/>
      <c r="L89" s="656"/>
      <c r="M89" s="656"/>
      <c r="N89" s="656"/>
      <c r="O89" s="656"/>
      <c r="P89" s="656"/>
      <c r="Q89" s="656"/>
      <c r="R89" s="656"/>
      <c r="S89" s="656"/>
      <c r="T89" s="656"/>
      <c r="U89" s="656"/>
    </row>
    <row r="90" spans="2:21" ht="13.5" hidden="1" customHeight="1">
      <c r="B90" s="775"/>
      <c r="C90" s="777"/>
      <c r="D90" s="739"/>
      <c r="E90" s="959" t="s">
        <v>147</v>
      </c>
      <c r="F90" s="956"/>
      <c r="G90" s="956"/>
      <c r="H90" s="957"/>
      <c r="I90" s="936"/>
      <c r="J90" s="958"/>
      <c r="K90" s="765"/>
      <c r="L90" s="656"/>
      <c r="M90" s="656"/>
      <c r="N90" s="656"/>
      <c r="O90" s="656"/>
      <c r="P90" s="656"/>
      <c r="Q90" s="656"/>
      <c r="R90" s="656"/>
      <c r="S90" s="656"/>
      <c r="T90" s="656"/>
      <c r="U90" s="656"/>
    </row>
    <row r="91" spans="2:21" ht="13.5" hidden="1" customHeight="1">
      <c r="B91" s="775"/>
      <c r="C91" s="777"/>
      <c r="D91" s="739"/>
      <c r="E91" s="959" t="s">
        <v>148</v>
      </c>
      <c r="F91" s="956"/>
      <c r="G91" s="956"/>
      <c r="H91" s="957"/>
      <c r="I91" s="936"/>
      <c r="J91" s="958"/>
      <c r="K91" s="765"/>
      <c r="L91" s="656"/>
      <c r="M91" s="656"/>
      <c r="N91" s="656"/>
      <c r="O91" s="656"/>
      <c r="P91" s="656"/>
      <c r="Q91" s="656"/>
      <c r="R91" s="656"/>
      <c r="S91" s="656"/>
      <c r="T91" s="656"/>
      <c r="U91" s="656"/>
    </row>
    <row r="92" spans="2:21" ht="13.5" hidden="1" customHeight="1">
      <c r="B92" s="775"/>
      <c r="C92" s="322"/>
      <c r="D92" s="739"/>
      <c r="E92" s="964" t="s">
        <v>149</v>
      </c>
      <c r="F92" s="965"/>
      <c r="G92" s="970" t="s">
        <v>150</v>
      </c>
      <c r="H92" s="967"/>
      <c r="I92" s="936"/>
      <c r="J92" s="968"/>
      <c r="K92" s="765"/>
      <c r="L92" s="656"/>
      <c r="M92" s="656"/>
      <c r="N92" s="656"/>
      <c r="O92" s="656"/>
      <c r="P92" s="656"/>
      <c r="Q92" s="656"/>
      <c r="R92" s="656"/>
      <c r="S92" s="656"/>
      <c r="T92" s="656"/>
      <c r="U92" s="656"/>
    </row>
    <row r="93" spans="2:21" ht="13.5" hidden="1" customHeight="1">
      <c r="B93" s="775"/>
      <c r="C93" s="322"/>
      <c r="D93" s="739"/>
      <c r="E93" s="777"/>
      <c r="F93" s="789"/>
      <c r="G93" s="931" t="s">
        <v>151</v>
      </c>
      <c r="H93" s="967"/>
      <c r="I93" s="936"/>
      <c r="J93" s="968"/>
      <c r="K93" s="765"/>
      <c r="L93" s="656"/>
      <c r="M93" s="656"/>
      <c r="N93" s="656"/>
      <c r="O93" s="656"/>
      <c r="P93" s="656"/>
      <c r="Q93" s="656"/>
      <c r="R93" s="656"/>
      <c r="S93" s="656"/>
      <c r="T93" s="656"/>
      <c r="U93" s="656"/>
    </row>
    <row r="94" spans="2:21" ht="13.5" hidden="1" customHeight="1">
      <c r="B94" s="775"/>
      <c r="C94" s="322"/>
      <c r="D94" s="739"/>
      <c r="E94" s="777"/>
      <c r="F94" s="789"/>
      <c r="G94" s="969" t="s">
        <v>325</v>
      </c>
      <c r="H94" s="969"/>
      <c r="I94" s="936"/>
      <c r="J94" s="968"/>
      <c r="K94" s="765"/>
      <c r="L94" s="656"/>
      <c r="M94" s="656"/>
      <c r="N94" s="656"/>
      <c r="O94" s="656"/>
      <c r="P94" s="656"/>
      <c r="Q94" s="656"/>
      <c r="R94" s="656"/>
      <c r="S94" s="656"/>
      <c r="T94" s="656"/>
      <c r="U94" s="656"/>
    </row>
    <row r="95" spans="2:21" ht="13.5" hidden="1" customHeight="1">
      <c r="B95" s="775"/>
      <c r="C95" s="322"/>
      <c r="D95" s="739"/>
      <c r="E95" s="777"/>
      <c r="F95" s="789"/>
      <c r="G95" s="969" t="s">
        <v>152</v>
      </c>
      <c r="H95" s="969"/>
      <c r="I95" s="936"/>
      <c r="J95" s="968"/>
      <c r="K95" s="765"/>
      <c r="L95" s="656"/>
      <c r="M95" s="656"/>
      <c r="N95" s="656"/>
      <c r="O95" s="656"/>
      <c r="P95" s="656"/>
      <c r="Q95" s="656"/>
      <c r="R95" s="656"/>
      <c r="S95" s="656"/>
      <c r="T95" s="656"/>
      <c r="U95" s="656"/>
    </row>
    <row r="96" spans="2:21" ht="13.5" hidden="1" customHeight="1">
      <c r="B96" s="775"/>
      <c r="C96" s="322"/>
      <c r="D96" s="739"/>
      <c r="E96" s="777"/>
      <c r="F96" s="789"/>
      <c r="G96" s="970" t="s">
        <v>153</v>
      </c>
      <c r="H96" s="967"/>
      <c r="I96" s="936"/>
      <c r="J96" s="968"/>
      <c r="K96" s="765"/>
      <c r="L96" s="656"/>
      <c r="M96" s="656"/>
      <c r="N96" s="656"/>
      <c r="O96" s="656"/>
      <c r="P96" s="656"/>
      <c r="Q96" s="656"/>
      <c r="R96" s="656"/>
      <c r="S96" s="656"/>
      <c r="T96" s="656"/>
      <c r="U96" s="656"/>
    </row>
    <row r="97" spans="1:25" ht="35.25" hidden="1" customHeight="1">
      <c r="B97" s="775"/>
      <c r="C97" s="778"/>
      <c r="D97" s="934"/>
      <c r="E97" s="778"/>
      <c r="F97" s="790"/>
      <c r="G97" s="791"/>
      <c r="H97" s="973" t="s">
        <v>335</v>
      </c>
      <c r="I97" s="505"/>
      <c r="J97" s="1112"/>
      <c r="K97" s="765"/>
      <c r="L97" s="656"/>
      <c r="M97" s="656"/>
      <c r="N97" s="656"/>
      <c r="O97" s="656"/>
      <c r="P97" s="656"/>
      <c r="Q97" s="656"/>
      <c r="R97" s="656"/>
      <c r="S97" s="656"/>
      <c r="T97" s="656"/>
      <c r="U97" s="656"/>
    </row>
    <row r="98" spans="1:25" ht="13.5" hidden="1" customHeight="1">
      <c r="B98" s="775"/>
      <c r="C98" s="971">
        <v>2</v>
      </c>
      <c r="D98" s="972"/>
      <c r="E98" s="919" t="s">
        <v>975</v>
      </c>
      <c r="F98" s="920"/>
      <c r="G98" s="920"/>
      <c r="H98" s="974"/>
      <c r="I98" s="153"/>
      <c r="J98" s="954"/>
      <c r="K98" s="765"/>
      <c r="L98" s="656"/>
      <c r="M98" s="656"/>
      <c r="N98" s="656"/>
      <c r="O98" s="656"/>
      <c r="P98" s="656"/>
      <c r="Q98" s="656"/>
      <c r="R98" s="656"/>
      <c r="S98" s="656"/>
      <c r="T98" s="656"/>
      <c r="U98" s="656"/>
    </row>
    <row r="99" spans="1:25" ht="13.5" hidden="1" customHeight="1">
      <c r="B99" s="671"/>
      <c r="C99" s="777"/>
      <c r="D99" s="739"/>
      <c r="E99" s="792" t="s">
        <v>147</v>
      </c>
      <c r="F99" s="299"/>
      <c r="G99" s="299"/>
      <c r="H99" s="967"/>
      <c r="I99" s="936"/>
      <c r="J99" s="958"/>
      <c r="K99" s="765"/>
      <c r="L99" s="656"/>
      <c r="M99" s="656"/>
      <c r="N99" s="656"/>
      <c r="O99" s="656"/>
      <c r="P99" s="656"/>
      <c r="Q99" s="656"/>
      <c r="R99" s="656"/>
      <c r="S99" s="656"/>
      <c r="T99" s="656"/>
      <c r="U99" s="656"/>
    </row>
    <row r="100" spans="1:25" ht="13.5" hidden="1" customHeight="1">
      <c r="B100" s="671"/>
      <c r="C100" s="777"/>
      <c r="D100" s="739"/>
      <c r="E100" s="793" t="s">
        <v>148</v>
      </c>
      <c r="F100" s="794"/>
      <c r="G100" s="794"/>
      <c r="H100" s="967"/>
      <c r="I100" s="936"/>
      <c r="J100" s="958"/>
      <c r="K100" s="765"/>
      <c r="L100" s="656"/>
      <c r="M100" s="656"/>
      <c r="N100" s="656"/>
      <c r="O100" s="656"/>
      <c r="P100" s="656"/>
      <c r="Q100" s="656"/>
      <c r="R100" s="656"/>
      <c r="S100" s="656"/>
      <c r="T100" s="656"/>
      <c r="U100" s="656"/>
    </row>
    <row r="101" spans="1:25" ht="13.5" hidden="1" customHeight="1">
      <c r="B101" s="671"/>
      <c r="C101" s="322"/>
      <c r="D101" s="739"/>
      <c r="E101" s="787" t="s">
        <v>149</v>
      </c>
      <c r="F101" s="788"/>
      <c r="G101" s="931" t="s">
        <v>150</v>
      </c>
      <c r="H101" s="967"/>
      <c r="I101" s="936"/>
      <c r="J101" s="1111"/>
      <c r="K101" s="765"/>
      <c r="L101" s="656"/>
      <c r="M101" s="656"/>
      <c r="N101" s="656"/>
      <c r="O101" s="656"/>
      <c r="P101" s="656"/>
      <c r="Q101" s="656"/>
      <c r="R101" s="656"/>
      <c r="S101" s="656"/>
      <c r="T101" s="656"/>
      <c r="U101" s="656"/>
    </row>
    <row r="102" spans="1:25" ht="13.5" hidden="1" customHeight="1">
      <c r="B102" s="671"/>
      <c r="C102" s="322"/>
      <c r="D102" s="739"/>
      <c r="E102" s="777"/>
      <c r="F102" s="789"/>
      <c r="G102" s="931" t="s">
        <v>151</v>
      </c>
      <c r="H102" s="967"/>
      <c r="I102" s="936"/>
      <c r="J102" s="968"/>
      <c r="K102" s="765"/>
      <c r="L102" s="656"/>
      <c r="M102" s="656"/>
      <c r="N102" s="656"/>
      <c r="O102" s="656"/>
      <c r="P102" s="656"/>
      <c r="Q102" s="656"/>
      <c r="R102" s="656"/>
      <c r="S102" s="656"/>
      <c r="T102" s="656"/>
      <c r="U102" s="656"/>
    </row>
    <row r="103" spans="1:25" ht="13.5" hidden="1" customHeight="1">
      <c r="B103" s="671"/>
      <c r="C103" s="322"/>
      <c r="D103" s="739"/>
      <c r="E103" s="777"/>
      <c r="F103" s="789"/>
      <c r="G103" s="931" t="s">
        <v>325</v>
      </c>
      <c r="H103" s="967"/>
      <c r="I103" s="936"/>
      <c r="J103" s="968"/>
      <c r="K103" s="765"/>
      <c r="L103" s="656"/>
      <c r="M103" s="656"/>
      <c r="N103" s="656"/>
      <c r="O103" s="656"/>
      <c r="P103" s="656"/>
      <c r="Q103" s="1498"/>
      <c r="R103" s="1498"/>
      <c r="S103" s="1498"/>
      <c r="T103" s="1498"/>
      <c r="U103" s="1498"/>
    </row>
    <row r="104" spans="1:25" ht="13.5" hidden="1" customHeight="1">
      <c r="B104" s="671"/>
      <c r="C104" s="322"/>
      <c r="D104" s="739"/>
      <c r="E104" s="777"/>
      <c r="F104" s="789"/>
      <c r="G104" s="931" t="s">
        <v>152</v>
      </c>
      <c r="H104" s="967"/>
      <c r="I104" s="936"/>
      <c r="J104" s="968"/>
      <c r="K104" s="765"/>
      <c r="L104" s="656"/>
      <c r="M104" s="656"/>
      <c r="N104" s="656"/>
      <c r="O104" s="656"/>
      <c r="P104" s="656"/>
      <c r="Q104" s="1498"/>
      <c r="R104" s="1498"/>
      <c r="S104" s="1498"/>
      <c r="T104" s="1498"/>
      <c r="U104" s="1498"/>
    </row>
    <row r="105" spans="1:25" ht="13.5" hidden="1" customHeight="1">
      <c r="B105" s="671"/>
      <c r="C105" s="322"/>
      <c r="D105" s="739"/>
      <c r="E105" s="777"/>
      <c r="F105" s="789"/>
      <c r="G105" s="932" t="s">
        <v>153</v>
      </c>
      <c r="H105" s="967"/>
      <c r="I105" s="936"/>
      <c r="J105" s="968"/>
      <c r="K105" s="765"/>
      <c r="L105" s="656"/>
      <c r="M105" s="656"/>
      <c r="N105" s="656"/>
      <c r="O105" s="656"/>
      <c r="P105" s="656"/>
      <c r="Q105" s="656"/>
      <c r="R105" s="656"/>
      <c r="S105" s="656"/>
      <c r="T105" s="656"/>
      <c r="U105" s="656"/>
    </row>
    <row r="106" spans="1:25" ht="35.25" hidden="1" customHeight="1">
      <c r="B106" s="671"/>
      <c r="C106" s="778"/>
      <c r="D106" s="740"/>
      <c r="E106" s="778"/>
      <c r="F106" s="790"/>
      <c r="G106" s="791"/>
      <c r="H106" s="973" t="s">
        <v>335</v>
      </c>
      <c r="I106" s="505"/>
      <c r="J106" s="1112"/>
      <c r="K106" s="765"/>
      <c r="L106" s="656"/>
      <c r="M106" s="656"/>
      <c r="N106" s="656"/>
      <c r="O106" s="656"/>
      <c r="P106" s="656"/>
      <c r="Q106" s="656"/>
      <c r="R106" s="656"/>
      <c r="S106" s="656"/>
      <c r="T106" s="656"/>
      <c r="U106" s="656"/>
    </row>
    <row r="107" spans="1:25" ht="13.5" hidden="1" customHeight="1">
      <c r="B107" s="671"/>
      <c r="C107" s="771"/>
      <c r="D107" s="97"/>
      <c r="E107" s="771"/>
      <c r="F107" s="97"/>
      <c r="G107" s="97"/>
      <c r="H107" s="772"/>
      <c r="I107" s="151"/>
      <c r="J107" s="1542"/>
      <c r="K107" s="765"/>
      <c r="L107" s="656"/>
      <c r="M107" s="656"/>
      <c r="N107" s="656"/>
      <c r="O107" s="656"/>
      <c r="P107" s="656"/>
      <c r="Q107" s="656"/>
      <c r="R107" s="656"/>
      <c r="S107" s="656"/>
      <c r="T107" s="656"/>
      <c r="U107" s="656"/>
    </row>
    <row r="108" spans="1:25" ht="22.5" customHeight="1">
      <c r="B108" s="671"/>
      <c r="C108" s="771"/>
      <c r="D108" s="97"/>
      <c r="E108" s="771"/>
      <c r="F108" s="97"/>
      <c r="G108" s="97"/>
      <c r="H108" s="772"/>
      <c r="I108" s="151"/>
      <c r="J108" s="1543"/>
      <c r="K108" s="765"/>
      <c r="L108" s="656"/>
      <c r="M108" s="656"/>
      <c r="N108" s="656"/>
      <c r="O108" s="656"/>
      <c r="P108" s="656"/>
      <c r="Q108" s="656"/>
      <c r="R108" s="656"/>
      <c r="S108" s="656"/>
      <c r="T108" s="656"/>
      <c r="U108" s="656"/>
    </row>
    <row r="109" spans="1:25" s="49" customFormat="1" ht="30" customHeight="1">
      <c r="A109" s="1066"/>
      <c r="B109" s="2155" t="s">
        <v>777</v>
      </c>
      <c r="C109" s="2386" t="s">
        <v>5657</v>
      </c>
      <c r="D109" s="2386"/>
      <c r="E109" s="2386"/>
      <c r="F109" s="2386"/>
      <c r="G109" s="2386"/>
      <c r="H109" s="2386"/>
      <c r="I109" s="2386"/>
      <c r="J109" s="2156"/>
      <c r="K109" s="2157"/>
      <c r="L109" s="2157"/>
      <c r="M109" s="2157"/>
      <c r="N109" s="2157"/>
      <c r="O109" s="2157"/>
      <c r="P109" s="2157"/>
      <c r="Q109" s="2158"/>
      <c r="R109" s="2158"/>
      <c r="S109" s="2158"/>
      <c r="T109" s="2158"/>
      <c r="U109" s="2158"/>
      <c r="V109" s="2159"/>
      <c r="W109" s="2159"/>
      <c r="X109" s="2159"/>
      <c r="Y109" s="2159"/>
    </row>
    <row r="110" spans="1:25" s="49" customFormat="1" ht="13.5" customHeight="1">
      <c r="A110" s="1066"/>
      <c r="B110" s="2160"/>
      <c r="C110" s="2161" t="s">
        <v>5658</v>
      </c>
      <c r="D110" s="2162"/>
      <c r="E110" s="20"/>
      <c r="F110" s="20"/>
      <c r="G110" s="20"/>
      <c r="H110" s="20"/>
      <c r="I110" s="157"/>
      <c r="J110" s="1286"/>
      <c r="K110" s="2157"/>
      <c r="L110" s="2157"/>
      <c r="M110" s="2157"/>
      <c r="N110" s="2157"/>
      <c r="O110" s="2157"/>
      <c r="P110" s="2157"/>
      <c r="Q110" s="2158"/>
      <c r="R110" s="2158"/>
      <c r="S110" s="2158"/>
      <c r="T110" s="2158"/>
      <c r="U110" s="2158"/>
      <c r="V110" s="2159"/>
      <c r="W110" s="2159"/>
      <c r="X110" s="2159"/>
      <c r="Y110" s="2159"/>
    </row>
    <row r="111" spans="1:25" s="49" customFormat="1" ht="24" customHeight="1">
      <c r="A111" s="1066"/>
      <c r="B111" s="2160"/>
      <c r="C111" s="2387" t="s">
        <v>5659</v>
      </c>
      <c r="D111" s="2388"/>
      <c r="E111" s="2389" t="s">
        <v>5660</v>
      </c>
      <c r="F111" s="2390"/>
      <c r="G111" s="2390"/>
      <c r="H111" s="2390"/>
      <c r="I111" s="2390"/>
      <c r="J111" s="2390"/>
      <c r="K111" s="2391"/>
      <c r="L111" s="2157"/>
      <c r="M111" s="2157"/>
      <c r="N111" s="2157"/>
      <c r="O111" s="2157"/>
      <c r="P111" s="2157"/>
      <c r="Q111" s="2158"/>
      <c r="R111" s="2158"/>
      <c r="S111" s="2158"/>
      <c r="T111" s="2158"/>
      <c r="U111" s="2158"/>
      <c r="V111" s="2159"/>
      <c r="W111" s="2159"/>
      <c r="X111" s="2159"/>
      <c r="Y111" s="2159"/>
    </row>
    <row r="112" spans="1:25" s="49" customFormat="1" ht="24" customHeight="1">
      <c r="A112" s="1066"/>
      <c r="B112" s="2160"/>
      <c r="C112" s="2389">
        <v>1</v>
      </c>
      <c r="D112" s="2391"/>
      <c r="E112" s="2392" t="s">
        <v>5661</v>
      </c>
      <c r="F112" s="2393"/>
      <c r="G112" s="2393"/>
      <c r="H112" s="2393"/>
      <c r="I112" s="2393"/>
      <c r="J112" s="2393"/>
      <c r="K112" s="2394"/>
      <c r="L112" s="2157"/>
      <c r="M112" s="2157"/>
      <c r="N112" s="2157"/>
      <c r="O112" s="2157"/>
      <c r="P112" s="2157"/>
      <c r="Q112" s="2158"/>
      <c r="R112" s="2158"/>
      <c r="S112" s="2158"/>
      <c r="T112" s="2158"/>
      <c r="U112" s="2158"/>
      <c r="V112" s="2159"/>
      <c r="W112" s="2159"/>
      <c r="X112" s="2159"/>
      <c r="Y112" s="2159"/>
    </row>
    <row r="113" spans="1:25" s="49" customFormat="1" ht="24" customHeight="1">
      <c r="A113" s="1066"/>
      <c r="B113" s="1066"/>
      <c r="C113" s="2389">
        <v>2</v>
      </c>
      <c r="D113" s="2391"/>
      <c r="E113" s="2392" t="s">
        <v>5662</v>
      </c>
      <c r="F113" s="2393"/>
      <c r="G113" s="2393"/>
      <c r="H113" s="2393"/>
      <c r="I113" s="2393"/>
      <c r="J113" s="2393"/>
      <c r="K113" s="2394"/>
      <c r="L113" s="2157"/>
      <c r="M113" s="2157"/>
      <c r="N113" s="2157"/>
      <c r="O113" s="2157"/>
      <c r="P113" s="2157"/>
      <c r="Q113" s="2158"/>
      <c r="R113" s="2158"/>
      <c r="S113" s="2158"/>
      <c r="T113" s="2158"/>
      <c r="U113" s="2158"/>
      <c r="V113" s="2159"/>
      <c r="W113" s="2159"/>
      <c r="X113" s="2159"/>
      <c r="Y113" s="2159"/>
    </row>
    <row r="114" spans="1:25" s="49" customFormat="1" ht="24" customHeight="1">
      <c r="A114" s="1066"/>
      <c r="B114" s="2140"/>
      <c r="C114" s="2389">
        <v>5</v>
      </c>
      <c r="D114" s="2391"/>
      <c r="E114" s="2392" t="s">
        <v>5663</v>
      </c>
      <c r="F114" s="2393"/>
      <c r="G114" s="2393"/>
      <c r="H114" s="2393"/>
      <c r="I114" s="2393"/>
      <c r="J114" s="2393"/>
      <c r="K114" s="2394"/>
      <c r="Q114" s="2158"/>
      <c r="R114" s="2158"/>
      <c r="S114" s="2158"/>
      <c r="T114" s="2158"/>
      <c r="U114" s="2158"/>
      <c r="V114" s="2159"/>
      <c r="W114" s="2159"/>
      <c r="X114" s="2159"/>
      <c r="Y114" s="2159"/>
    </row>
    <row r="115" spans="1:25" s="2140" customFormat="1" ht="24" customHeight="1">
      <c r="A115" s="1066"/>
      <c r="B115" s="1066"/>
      <c r="C115" s="2395">
        <v>7</v>
      </c>
      <c r="D115" s="2395"/>
      <c r="E115" s="2396" t="s">
        <v>5664</v>
      </c>
      <c r="F115" s="2396"/>
      <c r="G115" s="2396"/>
      <c r="H115" s="2396"/>
      <c r="I115" s="2396"/>
      <c r="J115" s="2396"/>
      <c r="K115" s="2396"/>
      <c r="L115" s="49"/>
      <c r="M115" s="49"/>
      <c r="N115" s="49"/>
      <c r="O115" s="49"/>
      <c r="P115" s="49"/>
      <c r="Q115" s="2158"/>
      <c r="R115" s="2158"/>
      <c r="S115" s="2158"/>
      <c r="T115" s="2158"/>
      <c r="U115" s="2158"/>
      <c r="V115" s="2159"/>
      <c r="W115" s="2159"/>
      <c r="X115" s="2159"/>
      <c r="Y115" s="2159"/>
    </row>
    <row r="116" spans="1:25" s="2140" customFormat="1" ht="24" customHeight="1">
      <c r="A116" s="49"/>
      <c r="B116" s="49"/>
      <c r="C116" s="2395">
        <v>9</v>
      </c>
      <c r="D116" s="2395"/>
      <c r="E116" s="2396" t="s">
        <v>5665</v>
      </c>
      <c r="F116" s="2396"/>
      <c r="G116" s="2396"/>
      <c r="H116" s="2396"/>
      <c r="I116" s="2396"/>
      <c r="J116" s="2396"/>
      <c r="K116" s="2396"/>
      <c r="L116" s="49"/>
      <c r="M116" s="49"/>
      <c r="N116" s="49"/>
      <c r="O116" s="49"/>
      <c r="P116" s="49"/>
      <c r="Q116" s="2163"/>
      <c r="R116" s="2163"/>
      <c r="S116" s="2163"/>
      <c r="T116" s="2163"/>
      <c r="U116" s="2163"/>
      <c r="V116" s="2159"/>
      <c r="W116" s="2159"/>
      <c r="X116" s="2159"/>
      <c r="Y116" s="2159"/>
    </row>
    <row r="117" spans="1:25" s="2140" customFormat="1" ht="24" customHeight="1">
      <c r="A117" s="49"/>
      <c r="B117" s="49"/>
      <c r="C117" s="2395" t="s">
        <v>220</v>
      </c>
      <c r="D117" s="2395"/>
      <c r="E117" s="2396" t="s">
        <v>5666</v>
      </c>
      <c r="F117" s="2396"/>
      <c r="G117" s="2396"/>
      <c r="H117" s="2396"/>
      <c r="I117" s="2396"/>
      <c r="J117" s="2396"/>
      <c r="K117" s="2396"/>
      <c r="L117" s="49"/>
      <c r="M117" s="49"/>
      <c r="N117" s="49"/>
      <c r="O117" s="49"/>
      <c r="P117" s="49"/>
      <c r="Q117" s="2164"/>
      <c r="R117" s="2164"/>
      <c r="S117" s="2164"/>
      <c r="T117" s="2164"/>
      <c r="U117" s="2164"/>
      <c r="V117" s="2159"/>
      <c r="W117" s="2159"/>
      <c r="X117" s="2159"/>
      <c r="Y117" s="2159"/>
    </row>
    <row r="118" spans="1:25" s="2140" customFormat="1" ht="13.5" customHeight="1">
      <c r="A118" s="49"/>
      <c r="B118" s="49"/>
      <c r="C118" s="2165"/>
      <c r="E118" s="2166"/>
      <c r="H118" s="772"/>
      <c r="I118" s="157"/>
      <c r="J118" s="2167"/>
      <c r="K118" s="2168"/>
      <c r="L118" s="49"/>
      <c r="M118" s="49"/>
      <c r="N118" s="49"/>
      <c r="O118" s="49"/>
      <c r="P118" s="49"/>
      <c r="Q118" s="2164"/>
      <c r="R118" s="2164"/>
      <c r="S118" s="2164"/>
      <c r="T118" s="2164"/>
      <c r="U118" s="2164"/>
      <c r="V118" s="2159"/>
      <c r="W118" s="2159"/>
      <c r="X118" s="2159"/>
      <c r="Y118" s="2159"/>
    </row>
    <row r="119" spans="1:25" s="2140" customFormat="1" ht="13.5" customHeight="1">
      <c r="A119" s="49"/>
      <c r="B119" s="49"/>
      <c r="C119" s="2169"/>
      <c r="D119" s="2170" t="s">
        <v>5667</v>
      </c>
      <c r="E119" s="2165"/>
      <c r="H119" s="772"/>
      <c r="I119" s="157"/>
      <c r="J119" s="2171"/>
      <c r="K119" s="2168"/>
      <c r="L119" s="49"/>
      <c r="M119" s="49"/>
      <c r="N119" s="49"/>
      <c r="O119" s="49"/>
      <c r="P119" s="49"/>
      <c r="Q119" s="2164"/>
      <c r="R119" s="2164"/>
      <c r="S119" s="2164"/>
      <c r="T119" s="2164"/>
      <c r="U119" s="2164"/>
      <c r="V119" s="2159"/>
      <c r="W119" s="2159"/>
      <c r="X119" s="2159"/>
      <c r="Y119" s="2159"/>
    </row>
    <row r="120" spans="1:25" s="2140" customFormat="1" ht="13.5" customHeight="1">
      <c r="A120" s="49"/>
      <c r="B120" s="49"/>
      <c r="C120" s="2172"/>
      <c r="D120" s="2170" t="s">
        <v>5668</v>
      </c>
      <c r="E120" s="2165"/>
      <c r="H120" s="772"/>
      <c r="I120" s="157"/>
      <c r="J120" s="2171"/>
      <c r="K120" s="2168"/>
      <c r="L120" s="49"/>
      <c r="M120" s="49"/>
      <c r="N120" s="49"/>
      <c r="O120" s="49"/>
      <c r="P120" s="49"/>
      <c r="Q120" s="2164"/>
      <c r="R120" s="2164"/>
      <c r="S120" s="2164"/>
      <c r="T120" s="2164"/>
      <c r="U120" s="2164"/>
      <c r="V120" s="2159"/>
      <c r="W120" s="2159"/>
      <c r="X120" s="2159"/>
      <c r="Y120" s="2159"/>
    </row>
    <row r="121" spans="1:25" s="2140" customFormat="1" ht="24" customHeight="1">
      <c r="A121" s="49"/>
      <c r="B121" s="49"/>
      <c r="C121" s="1954"/>
      <c r="D121" s="2173" t="s">
        <v>5669</v>
      </c>
      <c r="E121" s="2174"/>
      <c r="F121" s="2174"/>
      <c r="G121" s="2174"/>
      <c r="H121" s="2175"/>
      <c r="I121" s="2176"/>
      <c r="J121" s="2177" t="s">
        <v>5670</v>
      </c>
      <c r="K121" s="2155" t="s">
        <v>284</v>
      </c>
      <c r="L121" s="49"/>
      <c r="M121" s="49"/>
      <c r="N121" s="49"/>
      <c r="O121" s="49"/>
      <c r="P121" s="49"/>
      <c r="Q121" s="2164"/>
      <c r="R121" s="2164"/>
      <c r="S121" s="2164"/>
      <c r="T121" s="2164"/>
      <c r="U121" s="2164"/>
      <c r="V121" s="2159"/>
      <c r="W121" s="2159"/>
      <c r="X121" s="2159"/>
      <c r="Y121" s="2159"/>
    </row>
    <row r="122" spans="1:25" s="2140" customFormat="1" ht="24" customHeight="1">
      <c r="A122" s="49"/>
      <c r="B122" s="49"/>
      <c r="C122" s="2178">
        <v>1</v>
      </c>
      <c r="D122" s="2179" t="s">
        <v>5671</v>
      </c>
      <c r="E122" s="2179"/>
      <c r="F122" s="2179"/>
      <c r="G122" s="2179"/>
      <c r="H122" s="2180"/>
      <c r="I122" s="160" t="str">
        <f>IF(OR(J122="",AND(J122&lt;&gt;0,K122="")),"※","")</f>
        <v>※</v>
      </c>
      <c r="J122" s="2181"/>
      <c r="K122" s="602"/>
      <c r="L122" s="49"/>
      <c r="M122" s="49"/>
      <c r="N122" s="49"/>
      <c r="O122" s="49"/>
      <c r="P122" s="49"/>
      <c r="Q122" s="2164"/>
      <c r="R122" s="2164"/>
      <c r="S122" s="2164"/>
      <c r="T122" s="2164"/>
      <c r="U122" s="2164"/>
      <c r="V122" s="2159"/>
      <c r="W122" s="2159"/>
      <c r="X122" s="2159"/>
      <c r="Y122" s="2159"/>
    </row>
    <row r="123" spans="1:25" s="2140" customFormat="1" ht="24" customHeight="1">
      <c r="A123" s="1066"/>
      <c r="B123" s="1066"/>
      <c r="C123" s="2178">
        <v>2</v>
      </c>
      <c r="D123" s="2179" t="s">
        <v>5672</v>
      </c>
      <c r="E123" s="2179"/>
      <c r="F123" s="2179"/>
      <c r="G123" s="2179"/>
      <c r="H123" s="2180"/>
      <c r="I123" s="160" t="str">
        <f t="shared" ref="I123:I129" si="3">IF(OR(J123="",AND(J123&lt;&gt;0,K123="")),"※","")</f>
        <v>※</v>
      </c>
      <c r="J123" s="2181"/>
      <c r="K123" s="602"/>
      <c r="L123" s="49"/>
      <c r="M123" s="49"/>
      <c r="N123" s="49"/>
      <c r="O123" s="49"/>
      <c r="P123" s="49"/>
      <c r="Q123" s="2164"/>
      <c r="R123" s="2164"/>
      <c r="S123" s="2164"/>
      <c r="T123" s="2164"/>
      <c r="U123" s="2164"/>
      <c r="V123" s="2159"/>
      <c r="W123" s="2159"/>
      <c r="X123" s="2159"/>
      <c r="Y123" s="2159"/>
    </row>
    <row r="124" spans="1:25" s="2140" customFormat="1" ht="24" customHeight="1">
      <c r="A124" s="1066"/>
      <c r="B124" s="1066"/>
      <c r="C124" s="2178">
        <v>3</v>
      </c>
      <c r="D124" s="2179" t="s">
        <v>5673</v>
      </c>
      <c r="E124" s="2179"/>
      <c r="F124" s="2179"/>
      <c r="G124" s="2179"/>
      <c r="H124" s="2180"/>
      <c r="I124" s="160" t="str">
        <f t="shared" si="3"/>
        <v>※</v>
      </c>
      <c r="J124" s="2181"/>
      <c r="K124" s="602"/>
      <c r="L124" s="1036"/>
      <c r="M124" s="1036"/>
      <c r="N124" s="1036"/>
      <c r="O124" s="1036"/>
      <c r="P124" s="1036"/>
      <c r="Q124" s="2164"/>
      <c r="R124" s="2164"/>
      <c r="S124" s="2164"/>
      <c r="T124" s="2164"/>
      <c r="U124" s="2164"/>
      <c r="V124" s="2159"/>
      <c r="W124" s="2159"/>
      <c r="X124" s="2159"/>
      <c r="Y124" s="2159"/>
    </row>
    <row r="125" spans="1:25" s="2140" customFormat="1" ht="24" customHeight="1">
      <c r="A125" s="1066"/>
      <c r="B125" s="1066"/>
      <c r="C125" s="2178">
        <v>4</v>
      </c>
      <c r="D125" s="2179" t="s">
        <v>5674</v>
      </c>
      <c r="E125" s="2179"/>
      <c r="F125" s="2179"/>
      <c r="G125" s="2179"/>
      <c r="H125" s="2180"/>
      <c r="I125" s="160" t="str">
        <f t="shared" si="3"/>
        <v>※</v>
      </c>
      <c r="J125" s="2181"/>
      <c r="K125" s="602"/>
      <c r="L125" s="2182"/>
      <c r="M125" s="2182"/>
      <c r="N125" s="2182"/>
      <c r="O125" s="2182"/>
      <c r="P125" s="2182"/>
      <c r="Q125" s="2164"/>
      <c r="R125" s="2164"/>
      <c r="S125" s="2164"/>
      <c r="T125" s="2164"/>
      <c r="U125" s="2164"/>
      <c r="V125" s="2159"/>
      <c r="W125" s="2159"/>
      <c r="X125" s="2159"/>
      <c r="Y125" s="2159"/>
    </row>
    <row r="126" spans="1:25" s="2140" customFormat="1" ht="24" customHeight="1">
      <c r="A126" s="1066"/>
      <c r="B126" s="1066"/>
      <c r="C126" s="2178">
        <v>5</v>
      </c>
      <c r="D126" s="2179" t="s">
        <v>5675</v>
      </c>
      <c r="E126" s="2179"/>
      <c r="F126" s="2179"/>
      <c r="G126" s="2179"/>
      <c r="H126" s="2180"/>
      <c r="I126" s="160" t="str">
        <f t="shared" si="3"/>
        <v>※</v>
      </c>
      <c r="J126" s="2181"/>
      <c r="K126" s="602"/>
      <c r="L126" s="2182"/>
      <c r="M126" s="2182"/>
      <c r="N126" s="2182"/>
      <c r="O126" s="2182"/>
      <c r="P126" s="2182"/>
      <c r="Q126" s="2164"/>
      <c r="R126" s="2164"/>
      <c r="S126" s="2164"/>
      <c r="T126" s="2164"/>
      <c r="U126" s="2164"/>
      <c r="V126" s="2159"/>
      <c r="W126" s="2159"/>
      <c r="X126" s="2159"/>
      <c r="Y126" s="2159"/>
    </row>
    <row r="127" spans="1:25" s="2140" customFormat="1" ht="24" customHeight="1">
      <c r="A127" s="1066"/>
      <c r="B127" s="1066"/>
      <c r="C127" s="2178">
        <v>6</v>
      </c>
      <c r="D127" s="2179" t="s">
        <v>5676</v>
      </c>
      <c r="E127" s="2179"/>
      <c r="F127" s="2179"/>
      <c r="G127" s="2179"/>
      <c r="H127" s="2180"/>
      <c r="I127" s="160" t="str">
        <f t="shared" si="3"/>
        <v>※</v>
      </c>
      <c r="J127" s="2181"/>
      <c r="K127" s="602"/>
      <c r="L127" s="2182"/>
      <c r="M127" s="2182"/>
      <c r="N127" s="2182"/>
      <c r="O127" s="2182"/>
      <c r="P127" s="2182"/>
      <c r="Q127" s="2164"/>
      <c r="R127" s="2164"/>
      <c r="S127" s="2164"/>
      <c r="T127" s="2164"/>
      <c r="U127" s="2164"/>
      <c r="V127" s="2159"/>
      <c r="W127" s="2159"/>
      <c r="X127" s="2159"/>
      <c r="Y127" s="2159"/>
    </row>
    <row r="128" spans="1:25" s="2140" customFormat="1" ht="24" customHeight="1">
      <c r="A128" s="1066"/>
      <c r="B128" s="1066"/>
      <c r="C128" s="2178">
        <v>7</v>
      </c>
      <c r="D128" s="2397" t="s">
        <v>5677</v>
      </c>
      <c r="E128" s="2398"/>
      <c r="F128" s="2398"/>
      <c r="G128" s="2398"/>
      <c r="H128" s="2399"/>
      <c r="I128" s="160" t="str">
        <f t="shared" si="3"/>
        <v>※</v>
      </c>
      <c r="J128" s="2181"/>
      <c r="K128" s="602"/>
      <c r="L128" s="2182"/>
      <c r="M128" s="2182"/>
      <c r="N128" s="2182"/>
      <c r="O128" s="2182"/>
      <c r="P128" s="2182"/>
      <c r="Q128" s="2164"/>
      <c r="R128" s="2164"/>
      <c r="S128" s="2164"/>
      <c r="T128" s="2164"/>
      <c r="U128" s="2164"/>
      <c r="V128" s="2159"/>
      <c r="W128" s="2159"/>
      <c r="X128" s="2159"/>
      <c r="Y128" s="2159"/>
    </row>
    <row r="129" spans="1:25" s="2140" customFormat="1" ht="24" customHeight="1">
      <c r="A129" s="1066"/>
      <c r="B129" s="1066"/>
      <c r="C129" s="2178">
        <v>8</v>
      </c>
      <c r="D129" s="2179" t="s">
        <v>5678</v>
      </c>
      <c r="E129" s="2179"/>
      <c r="F129" s="2179"/>
      <c r="G129" s="2179"/>
      <c r="H129" s="2180"/>
      <c r="I129" s="160" t="str">
        <f t="shared" si="3"/>
        <v>※</v>
      </c>
      <c r="J129" s="2181"/>
      <c r="K129" s="602"/>
      <c r="L129" s="2182"/>
      <c r="M129" s="2182"/>
      <c r="N129" s="2182"/>
      <c r="O129" s="2182"/>
      <c r="P129" s="2182"/>
      <c r="Q129" s="2164"/>
      <c r="R129" s="2164"/>
      <c r="S129" s="2164"/>
      <c r="T129" s="2164"/>
      <c r="U129" s="2164"/>
      <c r="V129" s="2159"/>
      <c r="W129" s="2159"/>
      <c r="X129" s="2159"/>
      <c r="Y129" s="2159"/>
    </row>
    <row r="130" spans="1:25" s="2140" customFormat="1" ht="24" customHeight="1">
      <c r="A130" s="1066"/>
      <c r="B130" s="1066"/>
      <c r="C130" s="2178">
        <v>9</v>
      </c>
      <c r="D130" s="2183" t="s">
        <v>5679</v>
      </c>
      <c r="E130" s="2184"/>
      <c r="F130" s="2184"/>
      <c r="G130" s="2184"/>
      <c r="H130" s="2185"/>
      <c r="I130" s="160" t="str">
        <f>IF(OR(J130="",AND(J130&lt;&gt;0,K130="")),"※","")</f>
        <v>※</v>
      </c>
      <c r="J130" s="2181"/>
      <c r="K130" s="602"/>
      <c r="L130" s="2182"/>
      <c r="M130" s="2182"/>
      <c r="N130" s="2182"/>
      <c r="O130" s="2182"/>
      <c r="P130" s="2182"/>
      <c r="Q130" s="2164"/>
      <c r="R130" s="2164"/>
      <c r="S130" s="2164"/>
      <c r="T130" s="2164"/>
      <c r="U130" s="2164"/>
      <c r="V130" s="2159"/>
      <c r="W130" s="2159"/>
      <c r="X130" s="2159"/>
      <c r="Y130" s="2159"/>
    </row>
    <row r="131" spans="1:25" s="2140" customFormat="1" ht="24" customHeight="1">
      <c r="A131" s="1066"/>
      <c r="B131" s="1066"/>
      <c r="C131" s="2186">
        <v>10</v>
      </c>
      <c r="D131" s="2400" t="s">
        <v>883</v>
      </c>
      <c r="E131" s="2401"/>
      <c r="F131" s="2401"/>
      <c r="G131" s="2401"/>
      <c r="H131" s="2402"/>
      <c r="I131" s="160" t="str">
        <f>IF(OR(J131="",AND(J131&lt;&gt;0,K131="")),"※","")</f>
        <v>※</v>
      </c>
      <c r="J131" s="2181"/>
      <c r="K131" s="602"/>
      <c r="L131" s="2182"/>
      <c r="M131" s="2182"/>
      <c r="N131" s="2182"/>
      <c r="O131" s="2182"/>
      <c r="P131" s="2182"/>
      <c r="Q131" s="2164"/>
      <c r="R131" s="2164"/>
      <c r="S131" s="2164"/>
      <c r="T131" s="2164"/>
      <c r="U131" s="2164"/>
      <c r="V131" s="2159"/>
      <c r="W131" s="2159"/>
      <c r="X131" s="2159"/>
      <c r="Y131" s="2159"/>
    </row>
    <row r="132" spans="1:25" s="2140" customFormat="1" ht="24" customHeight="1">
      <c r="A132" s="1066"/>
      <c r="B132" s="1066"/>
      <c r="C132" s="2186">
        <v>11</v>
      </c>
      <c r="D132" s="2400" t="s">
        <v>5680</v>
      </c>
      <c r="E132" s="2401"/>
      <c r="F132" s="2401"/>
      <c r="G132" s="2401"/>
      <c r="H132" s="2402"/>
      <c r="I132" s="160" t="str">
        <f t="shared" ref="I132:I152" si="4">IF(OR(J132="",AND(J132&lt;&gt;0,K132="")),"※","")</f>
        <v>※</v>
      </c>
      <c r="J132" s="2187"/>
      <c r="K132" s="602"/>
      <c r="L132" s="2182"/>
      <c r="M132" s="2182"/>
      <c r="N132" s="2182"/>
      <c r="O132" s="2182"/>
      <c r="P132" s="2182"/>
      <c r="Q132" s="2164"/>
      <c r="R132" s="2164"/>
      <c r="S132" s="2164"/>
      <c r="T132" s="2164"/>
      <c r="U132" s="2164"/>
      <c r="V132" s="2159"/>
      <c r="W132" s="2159"/>
      <c r="X132" s="2159"/>
      <c r="Y132" s="2159"/>
    </row>
    <row r="133" spans="1:25" s="2140" customFormat="1" ht="24" customHeight="1">
      <c r="A133" s="1066"/>
      <c r="B133" s="1286"/>
      <c r="C133" s="2186">
        <v>12</v>
      </c>
      <c r="D133" s="2400" t="s">
        <v>5681</v>
      </c>
      <c r="E133" s="2403"/>
      <c r="F133" s="2403"/>
      <c r="G133" s="2403"/>
      <c r="H133" s="2404"/>
      <c r="I133" s="160" t="str">
        <f t="shared" si="4"/>
        <v>※</v>
      </c>
      <c r="J133" s="2187"/>
      <c r="K133" s="602"/>
      <c r="L133" s="2182"/>
      <c r="M133" s="2182"/>
      <c r="N133" s="2182"/>
      <c r="O133" s="2182"/>
      <c r="P133" s="2182"/>
      <c r="Q133" s="2164"/>
      <c r="R133" s="2164"/>
      <c r="S133" s="2164"/>
      <c r="T133" s="2164"/>
      <c r="U133" s="2164"/>
      <c r="V133" s="2159"/>
      <c r="W133" s="2159"/>
      <c r="X133" s="2159"/>
      <c r="Y133" s="2159"/>
    </row>
    <row r="134" spans="1:25" s="2140" customFormat="1" ht="24" customHeight="1">
      <c r="A134" s="1066"/>
      <c r="B134" s="1066"/>
      <c r="C134" s="2186">
        <v>13</v>
      </c>
      <c r="D134" s="2400" t="s">
        <v>5682</v>
      </c>
      <c r="E134" s="2403"/>
      <c r="F134" s="2403"/>
      <c r="G134" s="2403"/>
      <c r="H134" s="2404"/>
      <c r="I134" s="160" t="str">
        <f t="shared" si="4"/>
        <v>※</v>
      </c>
      <c r="J134" s="2188"/>
      <c r="K134" s="602"/>
      <c r="L134" s="2182"/>
      <c r="M134" s="2182"/>
      <c r="N134" s="2182"/>
      <c r="O134" s="2182"/>
      <c r="P134" s="2182"/>
      <c r="Q134" s="2164"/>
      <c r="R134" s="2164"/>
      <c r="S134" s="2164"/>
      <c r="T134" s="2164"/>
      <c r="U134" s="2164"/>
      <c r="V134" s="2159"/>
      <c r="W134" s="2159"/>
      <c r="X134" s="2159"/>
      <c r="Y134" s="2159"/>
    </row>
    <row r="135" spans="1:25" s="2140" customFormat="1" ht="24" customHeight="1">
      <c r="A135" s="1066"/>
      <c r="B135" s="1066"/>
      <c r="C135" s="2186">
        <v>14</v>
      </c>
      <c r="D135" s="2405" t="s">
        <v>841</v>
      </c>
      <c r="E135" s="2403"/>
      <c r="F135" s="2403"/>
      <c r="G135" s="2403"/>
      <c r="H135" s="2404"/>
      <c r="I135" s="160" t="str">
        <f t="shared" si="4"/>
        <v>※</v>
      </c>
      <c r="J135" s="2187"/>
      <c r="K135" s="602"/>
      <c r="L135" s="2182"/>
      <c r="M135" s="2182"/>
      <c r="N135" s="2182"/>
      <c r="O135" s="2182"/>
      <c r="P135" s="2182"/>
      <c r="Q135" s="2164"/>
      <c r="R135" s="2164"/>
      <c r="S135" s="2164"/>
      <c r="T135" s="2164"/>
      <c r="U135" s="2164"/>
      <c r="V135" s="2159"/>
      <c r="W135" s="2159"/>
      <c r="X135" s="2159"/>
      <c r="Y135" s="2159"/>
    </row>
    <row r="136" spans="1:25" s="2140" customFormat="1" ht="24" customHeight="1">
      <c r="A136" s="1066"/>
      <c r="B136" s="1066"/>
      <c r="C136" s="2186">
        <v>15</v>
      </c>
      <c r="D136" s="2405" t="s">
        <v>842</v>
      </c>
      <c r="E136" s="2403"/>
      <c r="F136" s="2403"/>
      <c r="G136" s="2403"/>
      <c r="H136" s="2404"/>
      <c r="I136" s="160" t="str">
        <f t="shared" si="4"/>
        <v>※</v>
      </c>
      <c r="J136" s="2187"/>
      <c r="K136" s="602"/>
      <c r="L136" s="2182"/>
      <c r="M136" s="2182"/>
      <c r="N136" s="2182"/>
      <c r="O136" s="2182"/>
      <c r="P136" s="2182"/>
      <c r="Q136" s="2164"/>
      <c r="R136" s="2164"/>
      <c r="S136" s="2164"/>
      <c r="T136" s="2164"/>
      <c r="U136" s="2164"/>
      <c r="V136" s="2159"/>
      <c r="W136" s="2159"/>
      <c r="X136" s="2159"/>
      <c r="Y136" s="2159"/>
    </row>
    <row r="137" spans="1:25" s="2140" customFormat="1" ht="24" customHeight="1">
      <c r="A137" s="1066"/>
      <c r="B137" s="1066"/>
      <c r="C137" s="2186">
        <v>16</v>
      </c>
      <c r="D137" s="2400" t="s">
        <v>5683</v>
      </c>
      <c r="E137" s="2403"/>
      <c r="F137" s="2403"/>
      <c r="G137" s="2403"/>
      <c r="H137" s="2404"/>
      <c r="I137" s="160" t="str">
        <f t="shared" si="4"/>
        <v>※</v>
      </c>
      <c r="J137" s="2187"/>
      <c r="K137" s="602"/>
      <c r="L137" s="2182"/>
      <c r="M137" s="2182"/>
      <c r="N137" s="2182"/>
      <c r="O137" s="2182"/>
      <c r="P137" s="2182"/>
      <c r="Q137" s="2164"/>
      <c r="R137" s="2164"/>
      <c r="S137" s="2164"/>
      <c r="T137" s="2164"/>
      <c r="U137" s="2164"/>
      <c r="V137" s="2159"/>
      <c r="W137" s="2159"/>
      <c r="X137" s="2159"/>
      <c r="Y137" s="2159"/>
    </row>
    <row r="138" spans="1:25" s="2140" customFormat="1" ht="24" customHeight="1">
      <c r="A138" s="1066"/>
      <c r="B138" s="1066"/>
      <c r="C138" s="2186">
        <v>17</v>
      </c>
      <c r="D138" s="2400" t="s">
        <v>5684</v>
      </c>
      <c r="E138" s="2403"/>
      <c r="F138" s="2403"/>
      <c r="G138" s="2403"/>
      <c r="H138" s="2404"/>
      <c r="I138" s="160" t="str">
        <f t="shared" si="4"/>
        <v>※</v>
      </c>
      <c r="J138" s="2187"/>
      <c r="K138" s="602"/>
      <c r="L138" s="2182"/>
      <c r="M138" s="2182"/>
      <c r="N138" s="2182"/>
      <c r="O138" s="2182"/>
      <c r="P138" s="2182"/>
      <c r="Q138" s="2164"/>
      <c r="R138" s="2164"/>
      <c r="S138" s="2164"/>
      <c r="T138" s="2164"/>
      <c r="U138" s="2164"/>
      <c r="V138" s="2159"/>
      <c r="W138" s="2159"/>
      <c r="X138" s="2159"/>
      <c r="Y138" s="2159"/>
    </row>
    <row r="139" spans="1:25" s="2140" customFormat="1" ht="24" customHeight="1">
      <c r="A139" s="1066"/>
      <c r="B139" s="1066"/>
      <c r="C139" s="2186">
        <v>18</v>
      </c>
      <c r="D139" s="2400" t="s">
        <v>843</v>
      </c>
      <c r="E139" s="2403"/>
      <c r="F139" s="2403"/>
      <c r="G139" s="2403"/>
      <c r="H139" s="2404"/>
      <c r="I139" s="160" t="str">
        <f t="shared" si="4"/>
        <v>※</v>
      </c>
      <c r="J139" s="2187"/>
      <c r="K139" s="602"/>
      <c r="L139" s="2182"/>
      <c r="M139" s="2182"/>
      <c r="N139" s="2182"/>
      <c r="O139" s="2182"/>
      <c r="P139" s="2182"/>
      <c r="Q139" s="2164"/>
      <c r="R139" s="2164"/>
      <c r="S139" s="2164"/>
      <c r="T139" s="2164"/>
      <c r="U139" s="2164"/>
      <c r="V139" s="2159"/>
      <c r="W139" s="2159"/>
      <c r="X139" s="2159"/>
      <c r="Y139" s="2159"/>
    </row>
    <row r="140" spans="1:25" s="2140" customFormat="1" ht="24" customHeight="1">
      <c r="A140" s="1066"/>
      <c r="B140" s="1066"/>
      <c r="C140" s="2186">
        <v>19</v>
      </c>
      <c r="D140" s="2400" t="s">
        <v>5685</v>
      </c>
      <c r="E140" s="2403"/>
      <c r="F140" s="2403"/>
      <c r="G140" s="2403"/>
      <c r="H140" s="2404"/>
      <c r="I140" s="160" t="str">
        <f t="shared" si="4"/>
        <v>※</v>
      </c>
      <c r="J140" s="2187"/>
      <c r="K140" s="602"/>
      <c r="L140" s="2182"/>
      <c r="M140" s="2182"/>
      <c r="N140" s="2182"/>
      <c r="O140" s="2182"/>
      <c r="P140" s="2182"/>
      <c r="Q140" s="2164"/>
      <c r="R140" s="2164"/>
      <c r="S140" s="2164"/>
      <c r="T140" s="2164"/>
      <c r="U140" s="2164"/>
      <c r="V140" s="2159"/>
      <c r="W140" s="2159"/>
      <c r="X140" s="2159"/>
      <c r="Y140" s="2159"/>
    </row>
    <row r="141" spans="1:25" s="2140" customFormat="1" ht="24" customHeight="1">
      <c r="A141" s="1066"/>
      <c r="B141" s="1066"/>
      <c r="C141" s="2186">
        <v>20</v>
      </c>
      <c r="D141" s="2400" t="s">
        <v>5686</v>
      </c>
      <c r="E141" s="2403"/>
      <c r="F141" s="2403"/>
      <c r="G141" s="2403"/>
      <c r="H141" s="2404"/>
      <c r="I141" s="160" t="str">
        <f t="shared" si="4"/>
        <v>※</v>
      </c>
      <c r="J141" s="2187"/>
      <c r="K141" s="602"/>
      <c r="L141" s="2182"/>
      <c r="M141" s="2182"/>
      <c r="N141" s="2182"/>
      <c r="O141" s="2182"/>
      <c r="P141" s="2182"/>
      <c r="Q141" s="2164"/>
      <c r="R141" s="2164"/>
      <c r="S141" s="2164"/>
      <c r="T141" s="2164"/>
      <c r="U141" s="2164"/>
      <c r="V141" s="2159"/>
      <c r="W141" s="2159"/>
      <c r="X141" s="2159"/>
      <c r="Y141" s="2159"/>
    </row>
    <row r="142" spans="1:25" s="2140" customFormat="1" ht="24" customHeight="1">
      <c r="A142" s="1066"/>
      <c r="B142" s="1066"/>
      <c r="C142" s="2186">
        <v>21</v>
      </c>
      <c r="D142" s="2400" t="s">
        <v>5687</v>
      </c>
      <c r="E142" s="2403"/>
      <c r="F142" s="2403"/>
      <c r="G142" s="2403"/>
      <c r="H142" s="2404"/>
      <c r="I142" s="160" t="str">
        <f t="shared" si="4"/>
        <v>※</v>
      </c>
      <c r="J142" s="2189"/>
      <c r="K142" s="602"/>
      <c r="L142" s="2182"/>
      <c r="M142" s="2182"/>
      <c r="N142" s="2182"/>
      <c r="O142" s="2182"/>
      <c r="P142" s="2182"/>
      <c r="Q142" s="2164"/>
      <c r="R142" s="2164"/>
      <c r="S142" s="2164"/>
      <c r="T142" s="2164"/>
      <c r="U142" s="2164"/>
      <c r="V142" s="2159"/>
      <c r="W142" s="2159"/>
      <c r="X142" s="2159"/>
      <c r="Y142" s="2159"/>
    </row>
    <row r="143" spans="1:25" s="2140" customFormat="1" ht="24" customHeight="1">
      <c r="A143" s="1066"/>
      <c r="B143" s="1066"/>
      <c r="C143" s="2186">
        <v>22</v>
      </c>
      <c r="D143" s="2400" t="s">
        <v>5688</v>
      </c>
      <c r="E143" s="2403"/>
      <c r="F143" s="2403"/>
      <c r="G143" s="2403"/>
      <c r="H143" s="2404"/>
      <c r="I143" s="160" t="str">
        <f t="shared" si="4"/>
        <v>※</v>
      </c>
      <c r="J143" s="2187"/>
      <c r="K143" s="602"/>
      <c r="L143" s="2182"/>
      <c r="M143" s="2182"/>
      <c r="N143" s="2182"/>
      <c r="O143" s="2182"/>
      <c r="P143" s="2182"/>
      <c r="Q143" s="2164"/>
      <c r="R143" s="2164"/>
      <c r="S143" s="2164"/>
      <c r="T143" s="2164"/>
      <c r="U143" s="2164"/>
      <c r="V143" s="2159"/>
      <c r="W143" s="2159"/>
      <c r="X143" s="2159"/>
      <c r="Y143" s="2159"/>
    </row>
    <row r="144" spans="1:25" s="2140" customFormat="1" ht="24" customHeight="1">
      <c r="A144" s="1066"/>
      <c r="B144" s="1066"/>
      <c r="C144" s="2186">
        <v>23</v>
      </c>
      <c r="D144" s="2400" t="s">
        <v>5689</v>
      </c>
      <c r="E144" s="2403"/>
      <c r="F144" s="2403"/>
      <c r="G144" s="2403"/>
      <c r="H144" s="2404"/>
      <c r="I144" s="160" t="str">
        <f t="shared" si="4"/>
        <v>※</v>
      </c>
      <c r="J144" s="2187"/>
      <c r="K144" s="602"/>
      <c r="L144" s="2182"/>
      <c r="M144" s="2182"/>
      <c r="N144" s="2182"/>
      <c r="O144" s="2182"/>
      <c r="P144" s="2182"/>
      <c r="Q144" s="2164"/>
      <c r="R144" s="2164"/>
      <c r="S144" s="2164"/>
      <c r="T144" s="2164"/>
      <c r="U144" s="2164"/>
      <c r="V144" s="2159"/>
      <c r="W144" s="2159"/>
      <c r="X144" s="2159"/>
      <c r="Y144" s="2159"/>
    </row>
    <row r="145" spans="1:25" s="2140" customFormat="1" ht="24" customHeight="1">
      <c r="A145" s="1066"/>
      <c r="B145" s="1066"/>
      <c r="C145" s="2186">
        <v>24</v>
      </c>
      <c r="D145" s="2400" t="s">
        <v>5690</v>
      </c>
      <c r="E145" s="2403"/>
      <c r="F145" s="2403"/>
      <c r="G145" s="2403"/>
      <c r="H145" s="2404"/>
      <c r="I145" s="160" t="str">
        <f t="shared" si="4"/>
        <v>※</v>
      </c>
      <c r="J145" s="2187"/>
      <c r="K145" s="602"/>
      <c r="L145" s="2182"/>
      <c r="M145" s="2182"/>
      <c r="N145" s="2182"/>
      <c r="O145" s="2182"/>
      <c r="P145" s="2182"/>
      <c r="Q145" s="2164"/>
      <c r="R145" s="2164"/>
      <c r="S145" s="2164"/>
      <c r="T145" s="2164"/>
      <c r="U145" s="2164"/>
      <c r="V145" s="2159"/>
      <c r="W145" s="2159"/>
      <c r="X145" s="2159"/>
      <c r="Y145" s="2159"/>
    </row>
    <row r="146" spans="1:25" s="2140" customFormat="1" ht="24" customHeight="1">
      <c r="A146" s="1066"/>
      <c r="B146" s="1066"/>
      <c r="C146" s="2186">
        <v>25</v>
      </c>
      <c r="D146" s="2400" t="s">
        <v>5691</v>
      </c>
      <c r="E146" s="2403"/>
      <c r="F146" s="2403"/>
      <c r="G146" s="2403"/>
      <c r="H146" s="2404"/>
      <c r="I146" s="160" t="str">
        <f t="shared" si="4"/>
        <v>※</v>
      </c>
      <c r="J146" s="2187"/>
      <c r="K146" s="602"/>
      <c r="L146" s="2182"/>
      <c r="M146" s="2182"/>
      <c r="N146" s="2182"/>
      <c r="O146" s="2182"/>
      <c r="P146" s="2182"/>
      <c r="Q146" s="2164"/>
      <c r="R146" s="2164"/>
      <c r="S146" s="2164"/>
      <c r="T146" s="2164"/>
      <c r="U146" s="2164"/>
      <c r="V146" s="2159"/>
      <c r="W146" s="2159"/>
      <c r="X146" s="2159"/>
      <c r="Y146" s="2159"/>
    </row>
    <row r="147" spans="1:25" s="2140" customFormat="1" ht="24" customHeight="1">
      <c r="A147" s="1066"/>
      <c r="B147" s="1066"/>
      <c r="C147" s="2186">
        <v>26</v>
      </c>
      <c r="D147" s="2400" t="s">
        <v>5692</v>
      </c>
      <c r="E147" s="2403"/>
      <c r="F147" s="2403"/>
      <c r="G147" s="2403"/>
      <c r="H147" s="2404"/>
      <c r="I147" s="160" t="str">
        <f t="shared" si="4"/>
        <v>※</v>
      </c>
      <c r="J147" s="2187"/>
      <c r="K147" s="602"/>
      <c r="L147" s="2182"/>
      <c r="M147" s="2182"/>
      <c r="N147" s="2182"/>
      <c r="O147" s="2182"/>
      <c r="P147" s="2182"/>
      <c r="Q147" s="2164"/>
      <c r="R147" s="2164"/>
      <c r="S147" s="2164"/>
      <c r="T147" s="2164"/>
      <c r="U147" s="2164"/>
      <c r="V147" s="2159"/>
      <c r="W147" s="2159"/>
      <c r="X147" s="2159"/>
      <c r="Y147" s="2159"/>
    </row>
    <row r="148" spans="1:25" s="2140" customFormat="1" ht="24" customHeight="1">
      <c r="A148" s="1066"/>
      <c r="B148" s="1066"/>
      <c r="C148" s="2186">
        <v>27</v>
      </c>
      <c r="D148" s="2400" t="s">
        <v>5693</v>
      </c>
      <c r="E148" s="2403"/>
      <c r="F148" s="2403"/>
      <c r="G148" s="2403"/>
      <c r="H148" s="2404"/>
      <c r="I148" s="160" t="str">
        <f t="shared" si="4"/>
        <v>※</v>
      </c>
      <c r="J148" s="2187"/>
      <c r="K148" s="602"/>
      <c r="L148" s="2182"/>
      <c r="M148" s="2182"/>
      <c r="N148" s="2182"/>
      <c r="O148" s="2182"/>
      <c r="P148" s="2182"/>
      <c r="Q148" s="2190"/>
      <c r="R148" s="2190"/>
      <c r="S148" s="2190"/>
      <c r="T148" s="2190"/>
      <c r="U148" s="2190"/>
      <c r="V148" s="2159"/>
      <c r="W148" s="2159"/>
      <c r="X148" s="2159"/>
      <c r="Y148" s="2159"/>
    </row>
    <row r="149" spans="1:25" s="2140" customFormat="1" ht="24" customHeight="1">
      <c r="A149" s="1066"/>
      <c r="B149" s="1066"/>
      <c r="C149" s="2186">
        <v>28</v>
      </c>
      <c r="D149" s="2400" t="s">
        <v>5694</v>
      </c>
      <c r="E149" s="2403"/>
      <c r="F149" s="2403"/>
      <c r="G149" s="2403"/>
      <c r="H149" s="2404"/>
      <c r="I149" s="160" t="str">
        <f t="shared" si="4"/>
        <v>※</v>
      </c>
      <c r="J149" s="2187"/>
      <c r="K149" s="602"/>
      <c r="L149" s="2182"/>
      <c r="M149" s="2182"/>
      <c r="N149" s="2182"/>
      <c r="O149" s="2182"/>
      <c r="P149" s="2182"/>
      <c r="Q149" s="2190"/>
      <c r="R149" s="2190"/>
      <c r="S149" s="2190"/>
      <c r="T149" s="2190"/>
      <c r="U149" s="2190"/>
      <c r="V149" s="2159"/>
      <c r="W149" s="2159"/>
      <c r="X149" s="2159"/>
      <c r="Y149" s="2159"/>
    </row>
    <row r="150" spans="1:25" s="2140" customFormat="1" ht="24" customHeight="1">
      <c r="A150" s="1066"/>
      <c r="B150" s="1066"/>
      <c r="C150" s="2186">
        <v>29</v>
      </c>
      <c r="D150" s="2400" t="s">
        <v>5695</v>
      </c>
      <c r="E150" s="2403"/>
      <c r="F150" s="2403"/>
      <c r="G150" s="2403"/>
      <c r="H150" s="2404"/>
      <c r="I150" s="160" t="str">
        <f t="shared" si="4"/>
        <v>※</v>
      </c>
      <c r="J150" s="2187"/>
      <c r="K150" s="602"/>
      <c r="L150" s="2182"/>
      <c r="M150" s="2182"/>
      <c r="N150" s="2182"/>
      <c r="O150" s="2182"/>
      <c r="P150" s="2182"/>
      <c r="Q150" s="2164"/>
      <c r="R150" s="2164"/>
      <c r="S150" s="2164"/>
      <c r="T150" s="2164"/>
      <c r="U150" s="2164"/>
      <c r="V150" s="2159"/>
      <c r="W150" s="2159"/>
      <c r="X150" s="2159"/>
      <c r="Y150" s="2159"/>
    </row>
    <row r="151" spans="1:25" s="2140" customFormat="1" ht="24" customHeight="1">
      <c r="A151" s="1066"/>
      <c r="B151" s="1066"/>
      <c r="C151" s="2186">
        <v>30</v>
      </c>
      <c r="D151" s="2400" t="s">
        <v>5696</v>
      </c>
      <c r="E151" s="2403"/>
      <c r="F151" s="2403"/>
      <c r="G151" s="2403"/>
      <c r="H151" s="2404"/>
      <c r="I151" s="160" t="str">
        <f t="shared" si="4"/>
        <v>※</v>
      </c>
      <c r="J151" s="2187"/>
      <c r="K151" s="602"/>
      <c r="L151" s="2182"/>
      <c r="M151" s="2182"/>
      <c r="N151" s="2182"/>
      <c r="O151" s="2182"/>
      <c r="P151" s="2182"/>
      <c r="Q151" s="2164"/>
      <c r="R151" s="2164"/>
      <c r="S151" s="2164"/>
      <c r="T151" s="2164"/>
      <c r="U151" s="2164"/>
      <c r="V151" s="2159"/>
      <c r="W151" s="2159"/>
      <c r="X151" s="2159"/>
      <c r="Y151" s="2159"/>
    </row>
    <row r="152" spans="1:25" s="2140" customFormat="1" ht="24" customHeight="1">
      <c r="A152" s="1066"/>
      <c r="B152" s="1066"/>
      <c r="C152" s="2406">
        <v>31</v>
      </c>
      <c r="D152" s="2191" t="s">
        <v>5697</v>
      </c>
      <c r="E152" s="2192"/>
      <c r="F152" s="2192"/>
      <c r="G152" s="2192"/>
      <c r="H152" s="2193"/>
      <c r="I152" s="1028" t="str">
        <f t="shared" si="4"/>
        <v>※</v>
      </c>
      <c r="J152" s="2187"/>
      <c r="K152" s="2408"/>
      <c r="L152" s="2182"/>
      <c r="M152" s="2182"/>
      <c r="N152" s="2182"/>
      <c r="O152" s="2182"/>
      <c r="P152" s="2182"/>
      <c r="Q152" s="2164"/>
      <c r="R152" s="2164"/>
      <c r="S152" s="2164"/>
      <c r="T152" s="2164"/>
      <c r="U152" s="2164"/>
      <c r="V152" s="2159"/>
      <c r="W152" s="2159"/>
      <c r="X152" s="2159"/>
      <c r="Y152" s="2159"/>
    </row>
    <row r="153" spans="1:25" s="2140" customFormat="1" ht="24" customHeight="1">
      <c r="A153" s="1066"/>
      <c r="B153" s="1066"/>
      <c r="C153" s="2407"/>
      <c r="D153" s="2194"/>
      <c r="E153" s="2195"/>
      <c r="F153" s="2196" t="s">
        <v>5698</v>
      </c>
      <c r="G153" s="2197"/>
      <c r="H153" s="2198"/>
      <c r="I153" s="159" t="str">
        <f>IF(J152=0,"",IF(J153="","※",""))</f>
        <v/>
      </c>
      <c r="J153" s="2199"/>
      <c r="K153" s="2409"/>
      <c r="L153" s="2182"/>
      <c r="M153" s="2182"/>
      <c r="N153" s="2182"/>
      <c r="O153" s="2182"/>
      <c r="P153" s="2182"/>
      <c r="Q153" s="2164"/>
      <c r="R153" s="2164"/>
      <c r="S153" s="2164"/>
      <c r="T153" s="2164"/>
      <c r="U153" s="2164"/>
      <c r="V153" s="2159"/>
      <c r="W153" s="2159"/>
      <c r="X153" s="2159"/>
      <c r="Y153" s="2159"/>
    </row>
    <row r="154" spans="1:25" s="2140" customFormat="1" ht="24" customHeight="1">
      <c r="A154" s="1066"/>
      <c r="B154" s="2200"/>
      <c r="C154" s="2186">
        <v>32</v>
      </c>
      <c r="D154" s="2405" t="s">
        <v>539</v>
      </c>
      <c r="E154" s="2403"/>
      <c r="F154" s="2403"/>
      <c r="G154" s="2403"/>
      <c r="H154" s="2404"/>
      <c r="I154" s="160" t="str">
        <f>IF(OR(J154="",AND(J154&lt;&gt;0,K154="")),"※","")</f>
        <v>※</v>
      </c>
      <c r="J154" s="2187"/>
      <c r="K154" s="602"/>
      <c r="L154" s="86"/>
      <c r="M154" s="86"/>
      <c r="N154" s="86"/>
      <c r="O154" s="86"/>
      <c r="P154" s="86"/>
      <c r="Q154" s="2201"/>
      <c r="R154" s="2201"/>
      <c r="S154" s="2201"/>
      <c r="T154" s="2201"/>
      <c r="U154" s="2201"/>
      <c r="V154" s="2159"/>
      <c r="W154" s="2159"/>
      <c r="X154" s="2159"/>
      <c r="Y154" s="2159"/>
    </row>
    <row r="155" spans="1:25" s="2140" customFormat="1" ht="24" customHeight="1">
      <c r="A155" s="1066"/>
      <c r="B155" s="1066"/>
      <c r="C155" s="2186">
        <v>33</v>
      </c>
      <c r="D155" s="2405" t="s">
        <v>540</v>
      </c>
      <c r="E155" s="2403"/>
      <c r="F155" s="2403"/>
      <c r="G155" s="2403"/>
      <c r="H155" s="2404"/>
      <c r="I155" s="160" t="str">
        <f t="shared" ref="I155:I161" si="5">IF(OR(J155="",AND(J155&lt;&gt;0,K155="")),"※","")</f>
        <v>※</v>
      </c>
      <c r="J155" s="2187"/>
      <c r="K155" s="602"/>
      <c r="L155" s="86"/>
      <c r="M155" s="86"/>
      <c r="N155" s="86"/>
      <c r="O155" s="86"/>
      <c r="P155" s="86"/>
      <c r="Q155" s="2201"/>
      <c r="R155" s="2201"/>
      <c r="S155" s="2201"/>
      <c r="T155" s="2201"/>
      <c r="U155" s="2201"/>
      <c r="V155" s="2159"/>
      <c r="W155" s="2159"/>
      <c r="X155" s="2159"/>
      <c r="Y155" s="2159"/>
    </row>
    <row r="156" spans="1:25" s="2140" customFormat="1" ht="24" customHeight="1">
      <c r="A156" s="1066"/>
      <c r="B156" s="1066"/>
      <c r="C156" s="2186">
        <v>34</v>
      </c>
      <c r="D156" s="2400" t="s">
        <v>5699</v>
      </c>
      <c r="E156" s="2403"/>
      <c r="F156" s="2403"/>
      <c r="G156" s="2403"/>
      <c r="H156" s="2404"/>
      <c r="I156" s="160" t="str">
        <f t="shared" si="5"/>
        <v>※</v>
      </c>
      <c r="J156" s="2187"/>
      <c r="K156" s="602"/>
      <c r="L156" s="86"/>
      <c r="M156" s="86"/>
      <c r="N156" s="86"/>
      <c r="O156" s="86"/>
      <c r="P156" s="86"/>
      <c r="Q156" s="2201"/>
      <c r="R156" s="2201"/>
      <c r="S156" s="2201"/>
      <c r="T156" s="2201"/>
      <c r="U156" s="2201"/>
      <c r="V156" s="2159"/>
      <c r="W156" s="2159"/>
      <c r="X156" s="2159"/>
      <c r="Y156" s="2159"/>
    </row>
    <row r="157" spans="1:25" s="2140" customFormat="1" ht="24" customHeight="1">
      <c r="A157" s="1066"/>
      <c r="B157" s="1066"/>
      <c r="C157" s="2186">
        <v>35</v>
      </c>
      <c r="D157" s="2400" t="s">
        <v>5700</v>
      </c>
      <c r="E157" s="2403"/>
      <c r="F157" s="2403"/>
      <c r="G157" s="2403"/>
      <c r="H157" s="2404"/>
      <c r="I157" s="160" t="str">
        <f t="shared" si="5"/>
        <v>※</v>
      </c>
      <c r="J157" s="2187"/>
      <c r="K157" s="602"/>
      <c r="L157" s="86"/>
      <c r="M157" s="86"/>
      <c r="N157" s="86"/>
      <c r="O157" s="86"/>
      <c r="P157" s="86"/>
      <c r="Q157" s="2201"/>
      <c r="R157" s="2201"/>
      <c r="S157" s="2201"/>
      <c r="T157" s="2201"/>
      <c r="U157" s="2201"/>
      <c r="V157" s="2159"/>
      <c r="W157" s="2159"/>
      <c r="X157" s="2159"/>
      <c r="Y157" s="2159"/>
    </row>
    <row r="158" spans="1:25" s="2140" customFormat="1" ht="24" customHeight="1">
      <c r="A158" s="1066"/>
      <c r="B158" s="1066"/>
      <c r="C158" s="2186">
        <v>36</v>
      </c>
      <c r="D158" s="2400" t="s">
        <v>5701</v>
      </c>
      <c r="E158" s="2403"/>
      <c r="F158" s="2403"/>
      <c r="G158" s="2403"/>
      <c r="H158" s="2404"/>
      <c r="I158" s="160" t="str">
        <f t="shared" si="5"/>
        <v>※</v>
      </c>
      <c r="J158" s="2187"/>
      <c r="K158" s="602"/>
      <c r="L158" s="86"/>
      <c r="M158" s="86"/>
      <c r="N158" s="86"/>
      <c r="O158" s="86"/>
      <c r="P158" s="86"/>
      <c r="Q158" s="2201"/>
      <c r="R158" s="2201"/>
      <c r="S158" s="2201"/>
      <c r="T158" s="2201"/>
      <c r="U158" s="2201"/>
      <c r="V158" s="2159"/>
      <c r="W158" s="2159"/>
      <c r="X158" s="2159"/>
      <c r="Y158" s="2159"/>
    </row>
    <row r="159" spans="1:25" s="2140" customFormat="1" ht="24" customHeight="1">
      <c r="A159" s="1066"/>
      <c r="B159" s="1066"/>
      <c r="C159" s="2186">
        <v>37</v>
      </c>
      <c r="D159" s="2400" t="s">
        <v>5702</v>
      </c>
      <c r="E159" s="2403"/>
      <c r="F159" s="2403"/>
      <c r="G159" s="2403"/>
      <c r="H159" s="2404"/>
      <c r="I159" s="160" t="str">
        <f t="shared" si="5"/>
        <v>※</v>
      </c>
      <c r="J159" s="2187"/>
      <c r="K159" s="602"/>
      <c r="L159" s="86"/>
      <c r="M159" s="86"/>
      <c r="N159" s="86"/>
      <c r="O159" s="86"/>
      <c r="P159" s="86"/>
      <c r="Q159" s="2201"/>
      <c r="R159" s="2201"/>
      <c r="S159" s="2201"/>
      <c r="T159" s="2201"/>
      <c r="U159" s="2201"/>
      <c r="V159" s="2159"/>
      <c r="W159" s="2159"/>
      <c r="X159" s="2159"/>
      <c r="Y159" s="2159"/>
    </row>
    <row r="160" spans="1:25" s="2140" customFormat="1" ht="24" customHeight="1">
      <c r="A160" s="1066"/>
      <c r="B160" s="1066"/>
      <c r="C160" s="2186">
        <v>38</v>
      </c>
      <c r="D160" s="2405" t="s">
        <v>46</v>
      </c>
      <c r="E160" s="2403"/>
      <c r="F160" s="2403"/>
      <c r="G160" s="2403"/>
      <c r="H160" s="2404"/>
      <c r="I160" s="160" t="str">
        <f t="shared" si="5"/>
        <v>※</v>
      </c>
      <c r="J160" s="2187"/>
      <c r="K160" s="602"/>
      <c r="L160" s="86"/>
      <c r="M160" s="86"/>
      <c r="N160" s="86"/>
      <c r="O160" s="86"/>
      <c r="P160" s="86"/>
      <c r="Q160" s="2201"/>
      <c r="R160" s="2201"/>
      <c r="S160" s="2201"/>
      <c r="T160" s="2201"/>
      <c r="U160" s="2201"/>
      <c r="V160" s="2159"/>
      <c r="W160" s="2159"/>
      <c r="X160" s="2159"/>
      <c r="Y160" s="2202" t="s">
        <v>1078</v>
      </c>
    </row>
    <row r="161" spans="1:25" s="2140" customFormat="1" ht="24" customHeight="1">
      <c r="A161" s="1066"/>
      <c r="B161" s="1066"/>
      <c r="C161" s="2186">
        <v>39</v>
      </c>
      <c r="D161" s="2405" t="s">
        <v>47</v>
      </c>
      <c r="E161" s="2403"/>
      <c r="F161" s="2403"/>
      <c r="G161" s="2403"/>
      <c r="H161" s="2404"/>
      <c r="I161" s="160" t="str">
        <f t="shared" si="5"/>
        <v>※</v>
      </c>
      <c r="J161" s="2187"/>
      <c r="K161" s="602"/>
      <c r="L161" s="86"/>
      <c r="M161" s="86"/>
      <c r="N161" s="86"/>
      <c r="O161" s="86"/>
      <c r="P161" s="86"/>
      <c r="Q161" s="2201"/>
      <c r="R161" s="2201"/>
      <c r="S161" s="2201"/>
      <c r="T161" s="2201"/>
      <c r="U161" s="2201"/>
      <c r="V161" s="2159"/>
      <c r="W161" s="2159"/>
      <c r="X161" s="2159"/>
      <c r="Y161" s="2203" t="s">
        <v>648</v>
      </c>
    </row>
    <row r="162" spans="1:25" s="2140" customFormat="1" ht="24" customHeight="1">
      <c r="A162" s="1066"/>
      <c r="B162" s="1066"/>
      <c r="C162" s="2406">
        <v>40</v>
      </c>
      <c r="D162" s="2204" t="s">
        <v>153</v>
      </c>
      <c r="E162" s="2204"/>
      <c r="F162" s="2204"/>
      <c r="G162" s="2204"/>
      <c r="H162" s="2205"/>
      <c r="I162" s="1028" t="str">
        <f>IF(OR(J162="",AND(J162&lt;&gt;0,K162="")),"※","")</f>
        <v>※</v>
      </c>
      <c r="J162" s="2206"/>
      <c r="K162" s="2408"/>
      <c r="L162" s="86"/>
      <c r="M162" s="86"/>
      <c r="N162" s="86"/>
      <c r="O162" s="86"/>
      <c r="P162" s="86"/>
      <c r="Q162" s="2201"/>
      <c r="R162" s="2201"/>
      <c r="S162" s="2201"/>
      <c r="T162" s="2201"/>
      <c r="U162" s="2201"/>
      <c r="V162" s="2159"/>
      <c r="W162" s="2159"/>
      <c r="X162" s="2159"/>
      <c r="Y162" s="2203" t="s">
        <v>648</v>
      </c>
    </row>
    <row r="163" spans="1:25" s="2140" customFormat="1" ht="24" customHeight="1">
      <c r="A163" s="1066"/>
      <c r="B163" s="1066"/>
      <c r="C163" s="2407"/>
      <c r="D163" s="2194"/>
      <c r="E163" s="2195"/>
      <c r="F163" s="2196" t="s">
        <v>5703</v>
      </c>
      <c r="G163" s="2197"/>
      <c r="H163" s="2197"/>
      <c r="I163" s="159" t="str">
        <f>IF(J162=0,"",IF(J163="","※",""))</f>
        <v/>
      </c>
      <c r="J163" s="2199"/>
      <c r="K163" s="2409"/>
      <c r="L163" s="86"/>
      <c r="M163" s="86"/>
      <c r="N163" s="86"/>
      <c r="O163" s="86"/>
      <c r="P163" s="86"/>
      <c r="Q163" s="2201"/>
      <c r="R163" s="2201"/>
      <c r="S163" s="2201"/>
      <c r="T163" s="2201"/>
      <c r="U163" s="2201"/>
      <c r="V163" s="2159"/>
      <c r="W163" s="2159"/>
      <c r="X163" s="2159"/>
      <c r="Y163" s="2203" t="s">
        <v>648</v>
      </c>
    </row>
    <row r="164" spans="1:25" s="2140" customFormat="1" ht="24" customHeight="1">
      <c r="A164" s="1066"/>
      <c r="B164" s="1066"/>
      <c r="C164" s="2207" t="s">
        <v>5704</v>
      </c>
      <c r="D164" s="2174"/>
      <c r="E164" s="2174"/>
      <c r="F164" s="2174"/>
      <c r="G164" s="2174"/>
      <c r="H164" s="2175"/>
      <c r="I164" s="160"/>
      <c r="J164" s="2208">
        <f>SUM(J122:J152,J154:J162)</f>
        <v>0</v>
      </c>
      <c r="K164" s="86"/>
      <c r="L164" s="86"/>
      <c r="M164" s="86"/>
      <c r="N164" s="86"/>
      <c r="O164" s="86"/>
      <c r="P164" s="86"/>
      <c r="Q164" s="2201"/>
      <c r="R164" s="2201"/>
      <c r="S164" s="2201"/>
      <c r="T164" s="2201"/>
      <c r="U164" s="2201"/>
      <c r="V164" s="2159"/>
      <c r="W164" s="2159"/>
      <c r="X164" s="2159"/>
      <c r="Y164" s="2203" t="s">
        <v>648</v>
      </c>
    </row>
    <row r="165" spans="1:25" s="87" customFormat="1" ht="24" customHeight="1">
      <c r="A165" s="3"/>
      <c r="B165" s="3"/>
      <c r="C165" s="2212"/>
      <c r="D165" s="2213"/>
      <c r="E165" s="2410"/>
      <c r="F165" s="2410"/>
      <c r="G165" s="2410"/>
      <c r="H165" s="2410"/>
      <c r="I165" s="2212"/>
      <c r="J165" s="2209"/>
      <c r="L165" s="217"/>
      <c r="M165" s="217"/>
      <c r="N165" s="217"/>
      <c r="O165" s="217"/>
      <c r="P165" s="217"/>
      <c r="Q165" s="217"/>
      <c r="R165" s="217"/>
      <c r="S165" s="217"/>
      <c r="T165" s="217"/>
      <c r="U165" s="217"/>
      <c r="Y165" s="2214" t="s">
        <v>648</v>
      </c>
    </row>
    <row r="166" spans="1:25" s="87" customFormat="1" ht="24" customHeight="1">
      <c r="A166" s="671"/>
      <c r="B166" s="2210" t="s">
        <v>146</v>
      </c>
      <c r="C166" s="2286" t="s">
        <v>805</v>
      </c>
      <c r="D166" s="2287"/>
      <c r="E166" s="2287"/>
      <c r="F166" s="2288"/>
      <c r="G166" s="673"/>
      <c r="H166" s="673"/>
      <c r="I166" s="674"/>
      <c r="J166" s="675"/>
      <c r="K166" s="676"/>
      <c r="L166" s="676"/>
      <c r="M166" s="676"/>
      <c r="N166" s="676"/>
      <c r="O166" s="676"/>
      <c r="P166" s="676"/>
      <c r="Q166" s="217"/>
      <c r="R166" s="217"/>
      <c r="S166" s="217"/>
      <c r="T166" s="217"/>
      <c r="U166" s="217"/>
    </row>
    <row r="167" spans="1:25" s="87" customFormat="1" ht="24" customHeight="1">
      <c r="A167" s="3"/>
      <c r="B167" s="3"/>
      <c r="C167" s="346" t="s">
        <v>703</v>
      </c>
      <c r="D167" s="192"/>
      <c r="E167" s="192"/>
      <c r="F167" s="192"/>
      <c r="G167" s="192"/>
      <c r="H167" s="192"/>
      <c r="I167" s="192"/>
      <c r="J167" s="375"/>
      <c r="K167" s="192"/>
      <c r="L167" s="217"/>
      <c r="M167" s="217"/>
      <c r="N167" s="217"/>
      <c r="O167" s="217"/>
      <c r="P167" s="217"/>
      <c r="Q167" s="217"/>
      <c r="R167" s="217"/>
      <c r="S167" s="217"/>
      <c r="T167" s="217"/>
      <c r="U167" s="217"/>
    </row>
    <row r="168" spans="1:25" s="87" customFormat="1" ht="24" customHeight="1">
      <c r="A168" s="3"/>
      <c r="B168" s="3"/>
      <c r="C168" s="2300" t="s">
        <v>308</v>
      </c>
      <c r="D168" s="2301"/>
      <c r="E168" s="2301"/>
      <c r="F168" s="2301"/>
      <c r="G168" s="2301"/>
      <c r="H168" s="2301"/>
      <c r="I168" s="2301"/>
      <c r="J168" s="2302"/>
      <c r="K168" s="670"/>
      <c r="L168" s="217"/>
      <c r="M168" s="217"/>
      <c r="N168" s="217"/>
      <c r="O168" s="217"/>
      <c r="P168" s="217"/>
      <c r="Q168" s="217"/>
      <c r="R168" s="217"/>
      <c r="S168" s="217"/>
      <c r="T168" s="217"/>
      <c r="U168" s="217"/>
    </row>
    <row r="169" spans="1:25" s="87" customFormat="1" ht="24" customHeight="1">
      <c r="A169" s="3"/>
      <c r="B169" s="3"/>
      <c r="C169" s="644" t="s">
        <v>110</v>
      </c>
      <c r="D169" s="645"/>
      <c r="E169" s="315"/>
      <c r="F169" s="315"/>
      <c r="G169" s="315"/>
      <c r="H169" s="315"/>
      <c r="I169" s="649" t="str">
        <f>IF(J169&lt;&gt;J170,"E","")</f>
        <v/>
      </c>
      <c r="J169" s="1139">
        <f>J34</f>
        <v>0</v>
      </c>
      <c r="L169" s="217"/>
      <c r="M169" s="217"/>
      <c r="N169" s="217"/>
      <c r="O169" s="217"/>
      <c r="P169" s="217"/>
      <c r="Q169" s="217"/>
      <c r="R169" s="217"/>
      <c r="S169" s="217"/>
      <c r="T169" s="217"/>
      <c r="U169" s="217"/>
    </row>
    <row r="170" spans="1:25" s="87" customFormat="1" ht="24" customHeight="1">
      <c r="A170" s="3"/>
      <c r="B170" s="3"/>
      <c r="C170" s="646" t="s">
        <v>394</v>
      </c>
      <c r="D170" s="642"/>
      <c r="E170" s="643"/>
      <c r="F170" s="643"/>
      <c r="G170" s="643"/>
      <c r="H170" s="643"/>
      <c r="I170" s="591" t="str">
        <f>IF(J169&lt;&gt;J170,"E","")</f>
        <v/>
      </c>
      <c r="J170" s="1139">
        <f>SUMIF(Y172:Y351,"○",J172:J351)</f>
        <v>0</v>
      </c>
      <c r="L170" s="217"/>
      <c r="M170" s="217"/>
      <c r="N170" s="217"/>
      <c r="O170" s="217"/>
      <c r="P170" s="217"/>
      <c r="Q170" s="217"/>
      <c r="R170" s="217"/>
      <c r="S170" s="217"/>
      <c r="T170" s="217"/>
      <c r="U170" s="217"/>
    </row>
    <row r="171" spans="1:25" s="87" customFormat="1" ht="24" customHeight="1">
      <c r="A171" s="3"/>
      <c r="B171" s="3"/>
      <c r="C171" s="2311" t="s">
        <v>702</v>
      </c>
      <c r="D171" s="2312"/>
      <c r="E171" s="2312"/>
      <c r="F171" s="2312"/>
      <c r="G171" s="2312"/>
      <c r="H171" s="2313"/>
      <c r="I171" s="2309" t="s">
        <v>219</v>
      </c>
      <c r="J171" s="2310"/>
      <c r="L171" s="217"/>
      <c r="M171" s="217"/>
      <c r="N171" s="217"/>
      <c r="O171" s="217"/>
      <c r="P171" s="217"/>
      <c r="Q171" s="217"/>
      <c r="R171" s="217"/>
      <c r="S171" s="217"/>
      <c r="T171" s="217"/>
      <c r="U171" s="217"/>
    </row>
    <row r="172" spans="1:25" s="87" customFormat="1" ht="24" customHeight="1">
      <c r="A172" s="3"/>
      <c r="B172" s="3"/>
      <c r="C172" s="648" t="str">
        <f t="shared" ref="C172:C211" si="6">IF(AND(J172&lt;&gt;"",E172=""),"※","")</f>
        <v/>
      </c>
      <c r="D172" s="975">
        <v>1</v>
      </c>
      <c r="E172" s="2362"/>
      <c r="F172" s="2363"/>
      <c r="G172" s="2363"/>
      <c r="H172" s="2364"/>
      <c r="I172" s="976" t="str">
        <f>IF(AND(E172&lt;&gt;"",J172=""),"※","")</f>
        <v/>
      </c>
      <c r="J172" s="977"/>
      <c r="L172" s="217"/>
      <c r="M172" s="217"/>
      <c r="N172" s="217"/>
      <c r="O172" s="217"/>
      <c r="P172" s="217"/>
      <c r="Q172" s="217"/>
      <c r="R172" s="217"/>
      <c r="S172" s="217"/>
      <c r="T172" s="217"/>
      <c r="U172" s="217"/>
      <c r="Y172" s="1515" t="s">
        <v>1078</v>
      </c>
    </row>
    <row r="173" spans="1:25" s="87" customFormat="1" ht="24" customHeight="1">
      <c r="A173" s="3"/>
      <c r="B173" s="3"/>
      <c r="C173" s="648" t="str">
        <f t="shared" si="6"/>
        <v/>
      </c>
      <c r="D173" s="978">
        <v>2</v>
      </c>
      <c r="E173" s="2294"/>
      <c r="F173" s="2295"/>
      <c r="G173" s="2295"/>
      <c r="H173" s="2296"/>
      <c r="I173" s="979" t="str">
        <f t="shared" ref="I173:I211" si="7">IF(AND(E173&lt;&gt;"",J173=""),"※","")</f>
        <v/>
      </c>
      <c r="J173" s="980"/>
      <c r="L173" s="217"/>
      <c r="M173" s="217"/>
      <c r="N173" s="217"/>
      <c r="O173" s="217"/>
      <c r="P173" s="217"/>
      <c r="Q173" s="217"/>
      <c r="R173" s="217"/>
      <c r="S173" s="217"/>
      <c r="T173" s="217"/>
      <c r="U173" s="217"/>
      <c r="Y173" s="1516" t="s">
        <v>648</v>
      </c>
    </row>
    <row r="174" spans="1:25" s="87" customFormat="1" ht="24" customHeight="1">
      <c r="A174" s="3"/>
      <c r="B174" s="3"/>
      <c r="C174" s="648" t="str">
        <f t="shared" si="6"/>
        <v/>
      </c>
      <c r="D174" s="978">
        <v>3</v>
      </c>
      <c r="E174" s="2294"/>
      <c r="F174" s="2295"/>
      <c r="G174" s="2295"/>
      <c r="H174" s="2296"/>
      <c r="I174" s="979" t="str">
        <f t="shared" si="7"/>
        <v/>
      </c>
      <c r="J174" s="980"/>
      <c r="L174" s="217"/>
      <c r="M174" s="217"/>
      <c r="N174" s="217"/>
      <c r="O174" s="217"/>
      <c r="P174" s="217"/>
      <c r="Q174" s="217"/>
      <c r="R174" s="217"/>
      <c r="S174" s="217"/>
      <c r="T174" s="217"/>
      <c r="U174" s="217"/>
      <c r="Y174" s="1516" t="s">
        <v>648</v>
      </c>
    </row>
    <row r="175" spans="1:25" s="87" customFormat="1" ht="24" customHeight="1">
      <c r="A175" s="3"/>
      <c r="B175" s="3"/>
      <c r="C175" s="648" t="str">
        <f t="shared" si="6"/>
        <v/>
      </c>
      <c r="D175" s="978">
        <v>4</v>
      </c>
      <c r="E175" s="2294"/>
      <c r="F175" s="2295"/>
      <c r="G175" s="2295"/>
      <c r="H175" s="2296"/>
      <c r="I175" s="979" t="str">
        <f t="shared" si="7"/>
        <v/>
      </c>
      <c r="J175" s="980"/>
      <c r="L175" s="217"/>
      <c r="M175" s="217"/>
      <c r="N175" s="217"/>
      <c r="O175" s="217"/>
      <c r="P175" s="217"/>
      <c r="Q175" s="217"/>
      <c r="R175" s="217"/>
      <c r="S175" s="217"/>
      <c r="T175" s="217"/>
      <c r="U175" s="217"/>
      <c r="Y175" s="1516" t="s">
        <v>648</v>
      </c>
    </row>
    <row r="176" spans="1:25" s="87" customFormat="1" ht="24" customHeight="1">
      <c r="A176" s="3"/>
      <c r="B176" s="3"/>
      <c r="C176" s="648" t="str">
        <f t="shared" si="6"/>
        <v/>
      </c>
      <c r="D176" s="978">
        <v>5</v>
      </c>
      <c r="E176" s="2294"/>
      <c r="F176" s="2295"/>
      <c r="G176" s="2295"/>
      <c r="H176" s="2296"/>
      <c r="I176" s="979" t="str">
        <f t="shared" si="7"/>
        <v/>
      </c>
      <c r="J176" s="980"/>
      <c r="L176" s="217"/>
      <c r="M176" s="217"/>
      <c r="N176" s="217"/>
      <c r="O176" s="217"/>
      <c r="P176" s="217"/>
      <c r="Q176" s="217"/>
      <c r="R176" s="217"/>
      <c r="S176" s="217"/>
      <c r="T176" s="217"/>
      <c r="U176" s="217"/>
      <c r="Y176" s="1516" t="s">
        <v>648</v>
      </c>
    </row>
    <row r="177" spans="1:25" s="87" customFormat="1" ht="24" customHeight="1">
      <c r="A177" s="3"/>
      <c r="B177" s="3"/>
      <c r="C177" s="648" t="str">
        <f t="shared" si="6"/>
        <v/>
      </c>
      <c r="D177" s="978">
        <v>6</v>
      </c>
      <c r="E177" s="2294"/>
      <c r="F177" s="2295"/>
      <c r="G177" s="2295"/>
      <c r="H177" s="2296"/>
      <c r="I177" s="979" t="str">
        <f t="shared" si="7"/>
        <v/>
      </c>
      <c r="J177" s="980"/>
      <c r="L177" s="217"/>
      <c r="M177" s="217"/>
      <c r="N177" s="217"/>
      <c r="O177" s="217"/>
      <c r="P177" s="217"/>
      <c r="Q177" s="217"/>
      <c r="R177" s="217"/>
      <c r="S177" s="217"/>
      <c r="T177" s="217"/>
      <c r="U177" s="217"/>
      <c r="Y177" s="1516" t="s">
        <v>648</v>
      </c>
    </row>
    <row r="178" spans="1:25" s="87" customFormat="1" ht="24" customHeight="1">
      <c r="A178" s="3"/>
      <c r="B178" s="3"/>
      <c r="C178" s="648" t="str">
        <f t="shared" si="6"/>
        <v/>
      </c>
      <c r="D178" s="978">
        <v>7</v>
      </c>
      <c r="E178" s="2294"/>
      <c r="F178" s="2295"/>
      <c r="G178" s="2295"/>
      <c r="H178" s="2296"/>
      <c r="I178" s="979" t="str">
        <f t="shared" si="7"/>
        <v/>
      </c>
      <c r="J178" s="980"/>
      <c r="L178" s="217"/>
      <c r="M178" s="217"/>
      <c r="N178" s="217"/>
      <c r="O178" s="217"/>
      <c r="P178" s="217"/>
      <c r="Q178" s="217"/>
      <c r="R178" s="217"/>
      <c r="S178" s="217"/>
      <c r="T178" s="217"/>
      <c r="U178" s="217"/>
      <c r="Y178" s="1516" t="s">
        <v>648</v>
      </c>
    </row>
    <row r="179" spans="1:25" s="87" customFormat="1" ht="24" customHeight="1">
      <c r="A179" s="3"/>
      <c r="B179" s="3"/>
      <c r="C179" s="648" t="str">
        <f t="shared" si="6"/>
        <v/>
      </c>
      <c r="D179" s="978">
        <v>8</v>
      </c>
      <c r="E179" s="2294"/>
      <c r="F179" s="2295"/>
      <c r="G179" s="2295"/>
      <c r="H179" s="2296"/>
      <c r="I179" s="979" t="str">
        <f t="shared" si="7"/>
        <v/>
      </c>
      <c r="J179" s="980"/>
      <c r="L179" s="217"/>
      <c r="M179" s="217"/>
      <c r="N179" s="217"/>
      <c r="O179" s="217"/>
      <c r="P179" s="217"/>
      <c r="Q179" s="217"/>
      <c r="R179" s="217"/>
      <c r="S179" s="217"/>
      <c r="T179" s="217"/>
      <c r="U179" s="217"/>
      <c r="Y179" s="1516" t="s">
        <v>648</v>
      </c>
    </row>
    <row r="180" spans="1:25" s="87" customFormat="1" ht="24" customHeight="1">
      <c r="A180" s="3"/>
      <c r="B180" s="3"/>
      <c r="C180" s="648" t="str">
        <f t="shared" si="6"/>
        <v/>
      </c>
      <c r="D180" s="978">
        <v>9</v>
      </c>
      <c r="E180" s="2294"/>
      <c r="F180" s="2295"/>
      <c r="G180" s="2295"/>
      <c r="H180" s="2296"/>
      <c r="I180" s="979" t="str">
        <f t="shared" si="7"/>
        <v/>
      </c>
      <c r="J180" s="980"/>
      <c r="L180" s="217"/>
      <c r="M180" s="217"/>
      <c r="N180" s="217"/>
      <c r="O180" s="217"/>
      <c r="P180" s="217"/>
      <c r="Q180" s="217"/>
      <c r="R180" s="217"/>
      <c r="S180" s="217"/>
      <c r="T180" s="217"/>
      <c r="U180" s="217"/>
      <c r="Y180" s="1516" t="s">
        <v>648</v>
      </c>
    </row>
    <row r="181" spans="1:25" s="87" customFormat="1" ht="24" customHeight="1">
      <c r="A181" s="3"/>
      <c r="B181" s="3"/>
      <c r="C181" s="648" t="str">
        <f t="shared" si="6"/>
        <v/>
      </c>
      <c r="D181" s="978">
        <v>10</v>
      </c>
      <c r="E181" s="2294"/>
      <c r="F181" s="2295"/>
      <c r="G181" s="2295"/>
      <c r="H181" s="2296"/>
      <c r="I181" s="979" t="str">
        <f t="shared" si="7"/>
        <v/>
      </c>
      <c r="J181" s="980"/>
      <c r="L181" s="217"/>
      <c r="M181" s="217"/>
      <c r="N181" s="217"/>
      <c r="O181" s="217"/>
      <c r="P181" s="217"/>
      <c r="Q181" s="217"/>
      <c r="R181" s="217"/>
      <c r="S181" s="217"/>
      <c r="T181" s="217"/>
      <c r="U181" s="217"/>
      <c r="Y181" s="1516" t="s">
        <v>648</v>
      </c>
    </row>
    <row r="182" spans="1:25" s="87" customFormat="1" ht="24" customHeight="1">
      <c r="A182" s="3"/>
      <c r="B182" s="3"/>
      <c r="C182" s="648" t="str">
        <f t="shared" si="6"/>
        <v/>
      </c>
      <c r="D182" s="978">
        <v>11</v>
      </c>
      <c r="E182" s="2294"/>
      <c r="F182" s="2295"/>
      <c r="G182" s="2295"/>
      <c r="H182" s="2296"/>
      <c r="I182" s="979" t="str">
        <f t="shared" si="7"/>
        <v/>
      </c>
      <c r="J182" s="980"/>
      <c r="L182" s="217"/>
      <c r="M182" s="217"/>
      <c r="N182" s="217"/>
      <c r="O182" s="217"/>
      <c r="P182" s="217"/>
      <c r="Q182" s="217"/>
      <c r="R182" s="217"/>
      <c r="S182" s="217"/>
      <c r="T182" s="217"/>
      <c r="U182" s="217"/>
      <c r="Y182" s="1516" t="s">
        <v>648</v>
      </c>
    </row>
    <row r="183" spans="1:25" s="87" customFormat="1" ht="24" customHeight="1">
      <c r="A183" s="3"/>
      <c r="B183" s="3"/>
      <c r="C183" s="648" t="str">
        <f t="shared" si="6"/>
        <v/>
      </c>
      <c r="D183" s="978">
        <v>12</v>
      </c>
      <c r="E183" s="2294"/>
      <c r="F183" s="2295"/>
      <c r="G183" s="2295"/>
      <c r="H183" s="2296"/>
      <c r="I183" s="979" t="str">
        <f t="shared" si="7"/>
        <v/>
      </c>
      <c r="J183" s="980"/>
      <c r="L183" s="217"/>
      <c r="M183" s="217"/>
      <c r="N183" s="217"/>
      <c r="O183" s="217"/>
      <c r="P183" s="217"/>
      <c r="Q183" s="217"/>
      <c r="R183" s="217"/>
      <c r="S183" s="217"/>
      <c r="T183" s="217"/>
      <c r="U183" s="217"/>
      <c r="Y183" s="1516" t="s">
        <v>648</v>
      </c>
    </row>
    <row r="184" spans="1:25" s="87" customFormat="1" ht="24" customHeight="1">
      <c r="A184" s="3"/>
      <c r="B184" s="3"/>
      <c r="C184" s="648" t="str">
        <f t="shared" si="6"/>
        <v/>
      </c>
      <c r="D184" s="978">
        <v>13</v>
      </c>
      <c r="E184" s="2294"/>
      <c r="F184" s="2295"/>
      <c r="G184" s="2295"/>
      <c r="H184" s="2296"/>
      <c r="I184" s="979" t="str">
        <f t="shared" si="7"/>
        <v/>
      </c>
      <c r="J184" s="980"/>
      <c r="L184" s="217"/>
      <c r="M184" s="217"/>
      <c r="N184" s="217"/>
      <c r="O184" s="217"/>
      <c r="P184" s="217"/>
      <c r="Q184" s="217"/>
      <c r="R184" s="217"/>
      <c r="S184" s="217"/>
      <c r="T184" s="217"/>
      <c r="U184" s="217"/>
      <c r="V184" s="677"/>
      <c r="W184" s="677"/>
      <c r="X184" s="677"/>
      <c r="Y184" s="1517" t="s">
        <v>648</v>
      </c>
    </row>
    <row r="185" spans="1:25" s="87" customFormat="1" ht="24" customHeight="1">
      <c r="A185" s="3"/>
      <c r="B185" s="3"/>
      <c r="C185" s="648" t="str">
        <f t="shared" si="6"/>
        <v/>
      </c>
      <c r="D185" s="978">
        <v>14</v>
      </c>
      <c r="E185" s="2294"/>
      <c r="F185" s="2295"/>
      <c r="G185" s="2295"/>
      <c r="H185" s="2296"/>
      <c r="I185" s="979" t="str">
        <f t="shared" si="7"/>
        <v/>
      </c>
      <c r="J185" s="980"/>
      <c r="L185" s="217"/>
      <c r="M185" s="217"/>
      <c r="N185" s="217"/>
      <c r="O185" s="217"/>
      <c r="P185" s="217"/>
      <c r="Q185" s="217"/>
      <c r="R185" s="217"/>
      <c r="S185" s="217"/>
      <c r="T185" s="217"/>
      <c r="U185" s="217"/>
      <c r="V185" s="677"/>
      <c r="W185" s="677"/>
      <c r="X185" s="677"/>
      <c r="Y185" s="1517" t="s">
        <v>648</v>
      </c>
    </row>
    <row r="186" spans="1:25" s="87" customFormat="1" ht="24" customHeight="1">
      <c r="A186" s="3"/>
      <c r="B186" s="3"/>
      <c r="C186" s="648" t="str">
        <f t="shared" si="6"/>
        <v/>
      </c>
      <c r="D186" s="978">
        <v>15</v>
      </c>
      <c r="E186" s="2294"/>
      <c r="F186" s="2295"/>
      <c r="G186" s="2295"/>
      <c r="H186" s="2296"/>
      <c r="I186" s="979" t="str">
        <f t="shared" si="7"/>
        <v/>
      </c>
      <c r="J186" s="980"/>
      <c r="L186" s="217"/>
      <c r="M186" s="217"/>
      <c r="N186" s="217"/>
      <c r="O186" s="217"/>
      <c r="P186" s="217"/>
      <c r="Q186" s="217"/>
      <c r="R186" s="217"/>
      <c r="S186" s="217"/>
      <c r="T186" s="217"/>
      <c r="U186" s="217"/>
      <c r="V186" s="677"/>
      <c r="W186" s="677"/>
      <c r="X186" s="677"/>
      <c r="Y186" s="1517" t="s">
        <v>648</v>
      </c>
    </row>
    <row r="187" spans="1:25" s="87" customFormat="1" ht="24" customHeight="1">
      <c r="A187" s="3"/>
      <c r="B187" s="3"/>
      <c r="C187" s="648" t="str">
        <f t="shared" si="6"/>
        <v/>
      </c>
      <c r="D187" s="978">
        <v>16</v>
      </c>
      <c r="E187" s="2294"/>
      <c r="F187" s="2295"/>
      <c r="G187" s="2295"/>
      <c r="H187" s="2296"/>
      <c r="I187" s="979" t="str">
        <f t="shared" si="7"/>
        <v/>
      </c>
      <c r="J187" s="980"/>
      <c r="L187" s="217"/>
      <c r="M187" s="217"/>
      <c r="N187" s="217"/>
      <c r="O187" s="217"/>
      <c r="P187" s="217"/>
      <c r="Q187" s="217"/>
      <c r="R187" s="217"/>
      <c r="S187" s="217"/>
      <c r="T187" s="217"/>
      <c r="U187" s="217"/>
      <c r="V187" s="677"/>
      <c r="W187" s="677"/>
      <c r="X187" s="677"/>
      <c r="Y187" s="1517" t="s">
        <v>648</v>
      </c>
    </row>
    <row r="188" spans="1:25" s="87" customFormat="1" ht="24" customHeight="1">
      <c r="A188" s="3"/>
      <c r="B188" s="3"/>
      <c r="C188" s="648" t="str">
        <f t="shared" si="6"/>
        <v/>
      </c>
      <c r="D188" s="978">
        <v>17</v>
      </c>
      <c r="E188" s="2294"/>
      <c r="F188" s="2295"/>
      <c r="G188" s="2295"/>
      <c r="H188" s="2296"/>
      <c r="I188" s="979" t="str">
        <f t="shared" si="7"/>
        <v/>
      </c>
      <c r="J188" s="980"/>
      <c r="L188" s="217"/>
      <c r="M188" s="217"/>
      <c r="N188" s="217"/>
      <c r="O188" s="217"/>
      <c r="P188" s="217"/>
      <c r="Q188" s="217"/>
      <c r="R188" s="217"/>
      <c r="S188" s="217"/>
      <c r="T188" s="217"/>
      <c r="U188" s="217"/>
      <c r="V188" s="677"/>
      <c r="W188" s="677"/>
      <c r="X188" s="677"/>
      <c r="Y188" s="1517" t="s">
        <v>648</v>
      </c>
    </row>
    <row r="189" spans="1:25" s="87" customFormat="1" ht="24" customHeight="1">
      <c r="A189" s="3"/>
      <c r="B189" s="3"/>
      <c r="C189" s="648" t="str">
        <f t="shared" si="6"/>
        <v/>
      </c>
      <c r="D189" s="978">
        <v>18</v>
      </c>
      <c r="E189" s="2294"/>
      <c r="F189" s="2295"/>
      <c r="G189" s="2295"/>
      <c r="H189" s="2296"/>
      <c r="I189" s="979" t="str">
        <f t="shared" si="7"/>
        <v/>
      </c>
      <c r="J189" s="980"/>
      <c r="L189" s="217"/>
      <c r="M189" s="217"/>
      <c r="N189" s="217"/>
      <c r="O189" s="217"/>
      <c r="P189" s="217"/>
      <c r="Q189" s="217"/>
      <c r="R189" s="217"/>
      <c r="S189" s="217"/>
      <c r="T189" s="217"/>
      <c r="U189" s="217"/>
      <c r="V189" s="677"/>
      <c r="W189" s="677"/>
      <c r="X189" s="677"/>
      <c r="Y189" s="1517" t="s">
        <v>648</v>
      </c>
    </row>
    <row r="190" spans="1:25" s="87" customFormat="1" ht="24" customHeight="1">
      <c r="A190" s="3"/>
      <c r="B190" s="3"/>
      <c r="C190" s="648" t="str">
        <f t="shared" si="6"/>
        <v/>
      </c>
      <c r="D190" s="978">
        <v>19</v>
      </c>
      <c r="E190" s="2294"/>
      <c r="F190" s="2295"/>
      <c r="G190" s="2295"/>
      <c r="H190" s="2296"/>
      <c r="I190" s="979" t="str">
        <f t="shared" si="7"/>
        <v/>
      </c>
      <c r="J190" s="980"/>
      <c r="L190" s="217"/>
      <c r="M190" s="217"/>
      <c r="N190" s="217"/>
      <c r="O190" s="217"/>
      <c r="P190" s="217"/>
      <c r="Q190" s="217"/>
      <c r="R190" s="217"/>
      <c r="S190" s="217"/>
      <c r="T190" s="217"/>
      <c r="U190" s="217"/>
      <c r="V190" s="677"/>
      <c r="W190" s="677"/>
      <c r="X190" s="677"/>
      <c r="Y190" s="1517" t="s">
        <v>648</v>
      </c>
    </row>
    <row r="191" spans="1:25" s="87" customFormat="1" ht="24" customHeight="1">
      <c r="A191" s="3"/>
      <c r="B191" s="3"/>
      <c r="C191" s="648" t="str">
        <f t="shared" si="6"/>
        <v/>
      </c>
      <c r="D191" s="978">
        <v>20</v>
      </c>
      <c r="E191" s="2294"/>
      <c r="F191" s="2295"/>
      <c r="G191" s="2295"/>
      <c r="H191" s="2296"/>
      <c r="I191" s="979" t="str">
        <f t="shared" si="7"/>
        <v/>
      </c>
      <c r="J191" s="980"/>
      <c r="L191" s="217"/>
      <c r="M191" s="217"/>
      <c r="N191" s="217"/>
      <c r="O191" s="217"/>
      <c r="P191" s="217"/>
      <c r="Q191" s="217"/>
      <c r="R191" s="217"/>
      <c r="S191" s="217"/>
      <c r="T191" s="217"/>
      <c r="U191" s="217"/>
      <c r="Y191" s="1516" t="s">
        <v>648</v>
      </c>
    </row>
    <row r="192" spans="1:25" s="87" customFormat="1" ht="24" customHeight="1">
      <c r="A192" s="3"/>
      <c r="B192" s="3"/>
      <c r="C192" s="648" t="str">
        <f t="shared" si="6"/>
        <v/>
      </c>
      <c r="D192" s="978">
        <v>21</v>
      </c>
      <c r="E192" s="2294"/>
      <c r="F192" s="2295"/>
      <c r="G192" s="2295"/>
      <c r="H192" s="2296"/>
      <c r="I192" s="979" t="str">
        <f t="shared" si="7"/>
        <v/>
      </c>
      <c r="J192" s="980"/>
      <c r="L192" s="217"/>
      <c r="M192" s="217"/>
      <c r="N192" s="217"/>
      <c r="O192" s="217"/>
      <c r="P192" s="217"/>
      <c r="Q192" s="217"/>
      <c r="R192" s="217"/>
      <c r="S192" s="217"/>
      <c r="T192" s="217"/>
      <c r="U192" s="217"/>
      <c r="Y192" s="1516" t="s">
        <v>648</v>
      </c>
    </row>
    <row r="193" spans="1:25" s="87" customFormat="1" ht="24" customHeight="1">
      <c r="A193" s="3"/>
      <c r="B193" s="3"/>
      <c r="C193" s="648" t="str">
        <f t="shared" si="6"/>
        <v/>
      </c>
      <c r="D193" s="978">
        <v>22</v>
      </c>
      <c r="E193" s="2294"/>
      <c r="F193" s="2295"/>
      <c r="G193" s="2295"/>
      <c r="H193" s="2296"/>
      <c r="I193" s="979" t="str">
        <f t="shared" si="7"/>
        <v/>
      </c>
      <c r="J193" s="980"/>
      <c r="L193" s="217"/>
      <c r="M193" s="217"/>
      <c r="N193" s="217"/>
      <c r="O193" s="217"/>
      <c r="P193" s="217"/>
      <c r="Q193" s="217"/>
      <c r="R193" s="217"/>
      <c r="S193" s="217"/>
      <c r="T193" s="217"/>
      <c r="U193" s="217"/>
      <c r="Y193" s="1516" t="s">
        <v>648</v>
      </c>
    </row>
    <row r="194" spans="1:25" s="87" customFormat="1" ht="24" customHeight="1">
      <c r="A194" s="3"/>
      <c r="B194" s="3"/>
      <c r="C194" s="648" t="str">
        <f t="shared" si="6"/>
        <v/>
      </c>
      <c r="D194" s="978">
        <v>23</v>
      </c>
      <c r="E194" s="2294"/>
      <c r="F194" s="2295"/>
      <c r="G194" s="2295"/>
      <c r="H194" s="2296"/>
      <c r="I194" s="979" t="str">
        <f t="shared" si="7"/>
        <v/>
      </c>
      <c r="J194" s="980"/>
      <c r="L194" s="217"/>
      <c r="M194" s="217"/>
      <c r="N194" s="217"/>
      <c r="O194" s="217"/>
      <c r="P194" s="217"/>
      <c r="Q194" s="217"/>
      <c r="R194" s="217"/>
      <c r="S194" s="217"/>
      <c r="T194" s="217"/>
      <c r="U194" s="217"/>
      <c r="Y194" s="1516" t="s">
        <v>648</v>
      </c>
    </row>
    <row r="195" spans="1:25" s="87" customFormat="1" ht="24" customHeight="1">
      <c r="A195" s="3"/>
      <c r="B195" s="3"/>
      <c r="C195" s="648" t="str">
        <f t="shared" si="6"/>
        <v/>
      </c>
      <c r="D195" s="978">
        <v>24</v>
      </c>
      <c r="E195" s="2294"/>
      <c r="F195" s="2295"/>
      <c r="G195" s="2295"/>
      <c r="H195" s="2296"/>
      <c r="I195" s="979" t="str">
        <f t="shared" si="7"/>
        <v/>
      </c>
      <c r="J195" s="980"/>
      <c r="L195" s="217"/>
      <c r="M195" s="217"/>
      <c r="N195" s="217"/>
      <c r="O195" s="217"/>
      <c r="P195" s="217"/>
      <c r="Q195" s="217"/>
      <c r="R195" s="217"/>
      <c r="S195" s="217"/>
      <c r="T195" s="217"/>
      <c r="U195" s="217"/>
      <c r="Y195" s="1516" t="s">
        <v>648</v>
      </c>
    </row>
    <row r="196" spans="1:25" s="87" customFormat="1" ht="24" customHeight="1">
      <c r="A196" s="3"/>
      <c r="B196" s="3"/>
      <c r="C196" s="648" t="str">
        <f t="shared" si="6"/>
        <v/>
      </c>
      <c r="D196" s="978">
        <v>25</v>
      </c>
      <c r="E196" s="2294"/>
      <c r="F196" s="2295"/>
      <c r="G196" s="2295"/>
      <c r="H196" s="2296"/>
      <c r="I196" s="979" t="str">
        <f t="shared" si="7"/>
        <v/>
      </c>
      <c r="J196" s="980"/>
      <c r="L196" s="217"/>
      <c r="M196" s="217"/>
      <c r="N196" s="217"/>
      <c r="O196" s="217"/>
      <c r="P196" s="217"/>
      <c r="Q196" s="217"/>
      <c r="R196" s="217"/>
      <c r="S196" s="217"/>
      <c r="T196" s="217"/>
      <c r="U196" s="217"/>
      <c r="Y196" s="1516" t="s">
        <v>648</v>
      </c>
    </row>
    <row r="197" spans="1:25" s="87" customFormat="1" ht="24" customHeight="1">
      <c r="A197" s="3"/>
      <c r="B197" s="3"/>
      <c r="C197" s="648" t="str">
        <f t="shared" si="6"/>
        <v/>
      </c>
      <c r="D197" s="978">
        <v>26</v>
      </c>
      <c r="E197" s="2294"/>
      <c r="F197" s="2295"/>
      <c r="G197" s="2295"/>
      <c r="H197" s="2296"/>
      <c r="I197" s="979" t="str">
        <f t="shared" si="7"/>
        <v/>
      </c>
      <c r="J197" s="980"/>
      <c r="L197" s="217"/>
      <c r="M197" s="217"/>
      <c r="N197" s="217"/>
      <c r="O197" s="217"/>
      <c r="P197" s="217"/>
      <c r="Q197" s="217"/>
      <c r="R197" s="217"/>
      <c r="S197" s="217"/>
      <c r="T197" s="217"/>
      <c r="U197" s="217"/>
      <c r="Y197" s="1516" t="s">
        <v>648</v>
      </c>
    </row>
    <row r="198" spans="1:25" s="87" customFormat="1" ht="24" customHeight="1">
      <c r="A198" s="3"/>
      <c r="B198" s="3"/>
      <c r="C198" s="648" t="str">
        <f t="shared" si="6"/>
        <v/>
      </c>
      <c r="D198" s="978">
        <v>27</v>
      </c>
      <c r="E198" s="2294"/>
      <c r="F198" s="2295"/>
      <c r="G198" s="2295"/>
      <c r="H198" s="2296"/>
      <c r="I198" s="979" t="str">
        <f t="shared" si="7"/>
        <v/>
      </c>
      <c r="J198" s="980"/>
      <c r="L198" s="217"/>
      <c r="M198" s="217"/>
      <c r="N198" s="217"/>
      <c r="O198" s="217"/>
      <c r="P198" s="217"/>
      <c r="Q198" s="217"/>
      <c r="R198" s="217"/>
      <c r="S198" s="217"/>
      <c r="T198" s="217"/>
      <c r="U198" s="217"/>
      <c r="Y198" s="1516" t="s">
        <v>648</v>
      </c>
    </row>
    <row r="199" spans="1:25" s="87" customFormat="1" ht="24" customHeight="1">
      <c r="A199" s="3"/>
      <c r="B199" s="3"/>
      <c r="C199" s="648" t="str">
        <f t="shared" si="6"/>
        <v/>
      </c>
      <c r="D199" s="978">
        <v>28</v>
      </c>
      <c r="E199" s="2294"/>
      <c r="F199" s="2295"/>
      <c r="G199" s="2295"/>
      <c r="H199" s="2296"/>
      <c r="I199" s="979" t="str">
        <f t="shared" si="7"/>
        <v/>
      </c>
      <c r="J199" s="980"/>
      <c r="L199" s="217"/>
      <c r="M199" s="217"/>
      <c r="N199" s="217"/>
      <c r="O199" s="217"/>
      <c r="P199" s="217"/>
      <c r="Q199" s="217"/>
      <c r="R199" s="217"/>
      <c r="S199" s="217"/>
      <c r="T199" s="217"/>
      <c r="U199" s="217"/>
      <c r="Y199" s="1516" t="s">
        <v>648</v>
      </c>
    </row>
    <row r="200" spans="1:25" s="87" customFormat="1" ht="24" customHeight="1">
      <c r="A200" s="3"/>
      <c r="B200" s="3"/>
      <c r="C200" s="648" t="str">
        <f t="shared" si="6"/>
        <v/>
      </c>
      <c r="D200" s="978">
        <v>29</v>
      </c>
      <c r="E200" s="2294"/>
      <c r="F200" s="2295"/>
      <c r="G200" s="2295"/>
      <c r="H200" s="2296"/>
      <c r="I200" s="979" t="str">
        <f t="shared" si="7"/>
        <v/>
      </c>
      <c r="J200" s="980"/>
      <c r="L200" s="217"/>
      <c r="M200" s="217"/>
      <c r="N200" s="217"/>
      <c r="O200" s="217"/>
      <c r="P200" s="217"/>
      <c r="Q200" s="217"/>
      <c r="R200" s="217"/>
      <c r="S200" s="217"/>
      <c r="T200" s="217"/>
      <c r="U200" s="217"/>
      <c r="Y200" s="1516" t="s">
        <v>648</v>
      </c>
    </row>
    <row r="201" spans="1:25" s="87" customFormat="1" ht="24" customHeight="1">
      <c r="A201" s="3"/>
      <c r="B201" s="3"/>
      <c r="C201" s="648" t="str">
        <f t="shared" si="6"/>
        <v/>
      </c>
      <c r="D201" s="978">
        <v>30</v>
      </c>
      <c r="E201" s="2294"/>
      <c r="F201" s="2295"/>
      <c r="G201" s="2295"/>
      <c r="H201" s="2296"/>
      <c r="I201" s="979" t="str">
        <f t="shared" si="7"/>
        <v/>
      </c>
      <c r="J201" s="980"/>
      <c r="L201" s="217"/>
      <c r="M201" s="217"/>
      <c r="N201" s="217"/>
      <c r="O201" s="217"/>
      <c r="P201" s="217"/>
      <c r="Q201" s="217"/>
      <c r="R201" s="217"/>
      <c r="S201" s="217"/>
      <c r="T201" s="217"/>
      <c r="U201" s="217"/>
      <c r="Y201" s="1516" t="s">
        <v>648</v>
      </c>
    </row>
    <row r="202" spans="1:25" s="87" customFormat="1" ht="24" customHeight="1">
      <c r="A202" s="3"/>
      <c r="B202" s="3"/>
      <c r="C202" s="648" t="str">
        <f t="shared" si="6"/>
        <v/>
      </c>
      <c r="D202" s="978">
        <v>31</v>
      </c>
      <c r="E202" s="2294"/>
      <c r="F202" s="2295"/>
      <c r="G202" s="2295"/>
      <c r="H202" s="2296"/>
      <c r="I202" s="979" t="str">
        <f t="shared" si="7"/>
        <v/>
      </c>
      <c r="J202" s="980"/>
      <c r="L202" s="217"/>
      <c r="M202" s="217"/>
      <c r="N202" s="217"/>
      <c r="O202" s="217"/>
      <c r="P202" s="217"/>
      <c r="Q202" s="217"/>
      <c r="R202" s="217"/>
      <c r="S202" s="217"/>
      <c r="T202" s="217"/>
      <c r="U202" s="217"/>
      <c r="Y202" s="1516" t="s">
        <v>648</v>
      </c>
    </row>
    <row r="203" spans="1:25" s="87" customFormat="1" ht="24" customHeight="1">
      <c r="A203" s="3"/>
      <c r="B203" s="3"/>
      <c r="C203" s="648" t="str">
        <f t="shared" si="6"/>
        <v/>
      </c>
      <c r="D203" s="978">
        <v>32</v>
      </c>
      <c r="E203" s="2294"/>
      <c r="F203" s="2295"/>
      <c r="G203" s="2295"/>
      <c r="H203" s="2296"/>
      <c r="I203" s="979" t="str">
        <f t="shared" si="7"/>
        <v/>
      </c>
      <c r="J203" s="980"/>
      <c r="L203" s="217"/>
      <c r="M203" s="217"/>
      <c r="N203" s="217"/>
      <c r="O203" s="217"/>
      <c r="P203" s="217"/>
      <c r="Q203" s="217"/>
      <c r="R203" s="217"/>
      <c r="S203" s="217"/>
      <c r="T203" s="217"/>
      <c r="U203" s="217"/>
      <c r="Y203" s="1516" t="s">
        <v>648</v>
      </c>
    </row>
    <row r="204" spans="1:25" s="677" customFormat="1" ht="24" customHeight="1">
      <c r="A204" s="3"/>
      <c r="B204" s="3"/>
      <c r="C204" s="648" t="str">
        <f t="shared" si="6"/>
        <v/>
      </c>
      <c r="D204" s="978">
        <v>33</v>
      </c>
      <c r="E204" s="2294"/>
      <c r="F204" s="2295"/>
      <c r="G204" s="2295"/>
      <c r="H204" s="2296"/>
      <c r="I204" s="979" t="str">
        <f t="shared" si="7"/>
        <v/>
      </c>
      <c r="J204" s="980"/>
      <c r="K204" s="87"/>
      <c r="L204" s="217"/>
      <c r="M204" s="217"/>
      <c r="N204" s="217"/>
      <c r="O204" s="217"/>
      <c r="P204" s="217"/>
      <c r="Q204" s="676"/>
      <c r="R204" s="676"/>
      <c r="S204" s="676"/>
      <c r="T204" s="676"/>
      <c r="U204" s="676"/>
      <c r="V204" s="87"/>
      <c r="W204" s="87"/>
      <c r="X204" s="87"/>
      <c r="Y204" s="1516" t="s">
        <v>648</v>
      </c>
    </row>
    <row r="205" spans="1:25" s="677" customFormat="1" ht="24" customHeight="1">
      <c r="A205" s="3"/>
      <c r="B205" s="3"/>
      <c r="C205" s="648" t="str">
        <f t="shared" si="6"/>
        <v/>
      </c>
      <c r="D205" s="978">
        <v>34</v>
      </c>
      <c r="E205" s="2294"/>
      <c r="F205" s="2295"/>
      <c r="G205" s="2295"/>
      <c r="H205" s="2296"/>
      <c r="I205" s="979" t="str">
        <f t="shared" si="7"/>
        <v/>
      </c>
      <c r="J205" s="980"/>
      <c r="K205" s="87"/>
      <c r="L205" s="217"/>
      <c r="M205" s="217"/>
      <c r="N205" s="217"/>
      <c r="O205" s="217"/>
      <c r="P205" s="217"/>
      <c r="Q205" s="676"/>
      <c r="R205" s="676"/>
      <c r="S205" s="676"/>
      <c r="T205" s="676"/>
      <c r="U205" s="676"/>
      <c r="V205" s="87"/>
      <c r="W205" s="87"/>
      <c r="X205" s="87"/>
      <c r="Y205" s="1516" t="s">
        <v>648</v>
      </c>
    </row>
    <row r="206" spans="1:25" s="677" customFormat="1" ht="24" customHeight="1">
      <c r="A206" s="3"/>
      <c r="B206" s="3"/>
      <c r="C206" s="648" t="str">
        <f t="shared" si="6"/>
        <v/>
      </c>
      <c r="D206" s="978">
        <v>35</v>
      </c>
      <c r="E206" s="2294"/>
      <c r="F206" s="2295"/>
      <c r="G206" s="2295"/>
      <c r="H206" s="2296"/>
      <c r="I206" s="979" t="str">
        <f t="shared" si="7"/>
        <v/>
      </c>
      <c r="J206" s="980"/>
      <c r="K206" s="87"/>
      <c r="L206" s="217"/>
      <c r="M206" s="217"/>
      <c r="N206" s="217"/>
      <c r="O206" s="217"/>
      <c r="P206" s="217"/>
      <c r="Q206" s="676"/>
      <c r="R206" s="676"/>
      <c r="S206" s="676"/>
      <c r="T206" s="676"/>
      <c r="U206" s="676"/>
      <c r="V206" s="87"/>
      <c r="W206" s="87"/>
      <c r="X206" s="87"/>
      <c r="Y206" s="1516" t="s">
        <v>648</v>
      </c>
    </row>
    <row r="207" spans="1:25" s="677" customFormat="1" ht="24" customHeight="1">
      <c r="A207" s="3"/>
      <c r="B207" s="3"/>
      <c r="C207" s="648" t="str">
        <f t="shared" si="6"/>
        <v/>
      </c>
      <c r="D207" s="978">
        <v>36</v>
      </c>
      <c r="E207" s="2294"/>
      <c r="F207" s="2295"/>
      <c r="G207" s="2295"/>
      <c r="H207" s="2296"/>
      <c r="I207" s="979" t="str">
        <f t="shared" si="7"/>
        <v/>
      </c>
      <c r="J207" s="980"/>
      <c r="K207" s="87"/>
      <c r="L207" s="217"/>
      <c r="M207" s="217"/>
      <c r="N207" s="217"/>
      <c r="O207" s="217"/>
      <c r="P207" s="217"/>
      <c r="Q207" s="676"/>
      <c r="R207" s="676"/>
      <c r="S207" s="676"/>
      <c r="T207" s="676"/>
      <c r="U207" s="676"/>
      <c r="V207" s="87"/>
      <c r="W207" s="87"/>
      <c r="X207" s="87"/>
      <c r="Y207" s="1516" t="s">
        <v>648</v>
      </c>
    </row>
    <row r="208" spans="1:25" s="677" customFormat="1" ht="24" customHeight="1">
      <c r="A208" s="3"/>
      <c r="B208" s="3"/>
      <c r="C208" s="648" t="str">
        <f t="shared" si="6"/>
        <v/>
      </c>
      <c r="D208" s="978">
        <v>37</v>
      </c>
      <c r="E208" s="2294"/>
      <c r="F208" s="2295"/>
      <c r="G208" s="2295"/>
      <c r="H208" s="2296"/>
      <c r="I208" s="979" t="str">
        <f t="shared" si="7"/>
        <v/>
      </c>
      <c r="J208" s="980"/>
      <c r="K208" s="87"/>
      <c r="L208" s="217"/>
      <c r="M208" s="217"/>
      <c r="N208" s="217"/>
      <c r="O208" s="217"/>
      <c r="P208" s="217"/>
      <c r="Q208" s="676"/>
      <c r="R208" s="676"/>
      <c r="S208" s="676"/>
      <c r="T208" s="676"/>
      <c r="U208" s="676"/>
      <c r="V208" s="87"/>
      <c r="W208" s="87"/>
      <c r="X208" s="87"/>
      <c r="Y208" s="1516" t="s">
        <v>648</v>
      </c>
    </row>
    <row r="209" spans="1:25" s="677" customFormat="1" ht="24" customHeight="1">
      <c r="A209" s="3"/>
      <c r="B209" s="3"/>
      <c r="C209" s="648" t="str">
        <f t="shared" si="6"/>
        <v/>
      </c>
      <c r="D209" s="978">
        <v>38</v>
      </c>
      <c r="E209" s="2294"/>
      <c r="F209" s="2295"/>
      <c r="G209" s="2295"/>
      <c r="H209" s="2296"/>
      <c r="I209" s="979" t="str">
        <f t="shared" si="7"/>
        <v/>
      </c>
      <c r="J209" s="980"/>
      <c r="K209" s="87"/>
      <c r="L209" s="217"/>
      <c r="M209" s="217"/>
      <c r="N209" s="217"/>
      <c r="O209" s="217"/>
      <c r="P209" s="217"/>
      <c r="Q209" s="676"/>
      <c r="R209" s="676"/>
      <c r="S209" s="676"/>
      <c r="T209" s="676"/>
      <c r="U209" s="676"/>
      <c r="V209" s="87"/>
      <c r="W209" s="87"/>
      <c r="X209" s="87"/>
      <c r="Y209" s="1516" t="s">
        <v>648</v>
      </c>
    </row>
    <row r="210" spans="1:25" s="87" customFormat="1" ht="24" customHeight="1">
      <c r="A210" s="3"/>
      <c r="B210" s="3"/>
      <c r="C210" s="648" t="str">
        <f t="shared" si="6"/>
        <v/>
      </c>
      <c r="D210" s="978">
        <v>39</v>
      </c>
      <c r="E210" s="2294"/>
      <c r="F210" s="2295"/>
      <c r="G210" s="2295"/>
      <c r="H210" s="2296"/>
      <c r="I210" s="979" t="str">
        <f t="shared" si="7"/>
        <v/>
      </c>
      <c r="J210" s="980"/>
      <c r="L210" s="217"/>
      <c r="M210" s="217"/>
      <c r="N210" s="217"/>
      <c r="O210" s="217"/>
      <c r="P210" s="217"/>
      <c r="Q210" s="217"/>
      <c r="R210" s="217"/>
      <c r="S210" s="217"/>
      <c r="T210" s="217"/>
      <c r="U210" s="217"/>
      <c r="Y210" s="1516" t="s">
        <v>648</v>
      </c>
    </row>
    <row r="211" spans="1:25" s="87" customFormat="1" ht="24" customHeight="1">
      <c r="A211" s="3"/>
      <c r="B211" s="3"/>
      <c r="C211" s="650" t="str">
        <f t="shared" si="6"/>
        <v/>
      </c>
      <c r="D211" s="981">
        <v>40</v>
      </c>
      <c r="E211" s="2351"/>
      <c r="F211" s="2352"/>
      <c r="G211" s="2352"/>
      <c r="H211" s="2353"/>
      <c r="I211" s="982" t="str">
        <f t="shared" si="7"/>
        <v/>
      </c>
      <c r="J211" s="983"/>
      <c r="L211" s="217"/>
      <c r="M211" s="217"/>
      <c r="N211" s="217"/>
      <c r="O211" s="217"/>
      <c r="P211" s="217"/>
      <c r="Q211" s="217"/>
      <c r="R211" s="217"/>
      <c r="S211" s="217"/>
      <c r="T211" s="217"/>
      <c r="U211" s="217"/>
      <c r="Y211" s="1518" t="s">
        <v>648</v>
      </c>
    </row>
    <row r="212" spans="1:25" s="87" customFormat="1" ht="17.25" customHeight="1">
      <c r="A212" s="671"/>
      <c r="B212" s="671"/>
      <c r="C212" s="672"/>
      <c r="D212" s="673"/>
      <c r="E212" s="673"/>
      <c r="F212" s="673"/>
      <c r="G212" s="673"/>
      <c r="H212" s="673"/>
      <c r="I212" s="674"/>
      <c r="J212" s="930"/>
      <c r="K212" s="676"/>
      <c r="L212" s="676"/>
      <c r="M212" s="676"/>
      <c r="N212" s="676"/>
      <c r="O212" s="676"/>
      <c r="P212" s="676"/>
      <c r="Q212" s="217"/>
      <c r="R212" s="217"/>
      <c r="S212" s="217"/>
      <c r="T212" s="217"/>
      <c r="U212" s="217"/>
    </row>
    <row r="213" spans="1:25" s="2140" customFormat="1" ht="27" customHeight="1">
      <c r="A213" s="1066"/>
      <c r="B213" s="2215" t="s">
        <v>787</v>
      </c>
      <c r="C213" s="2347" t="s">
        <v>5705</v>
      </c>
      <c r="D213" s="2347"/>
      <c r="E213" s="2347"/>
      <c r="F213" s="1066"/>
      <c r="G213" s="2216"/>
      <c r="H213" s="2211"/>
      <c r="I213" s="2217"/>
      <c r="J213" s="2218"/>
      <c r="K213" s="2218"/>
      <c r="L213" s="2219"/>
      <c r="M213" s="2219"/>
      <c r="N213" s="2220"/>
      <c r="O213" s="2221"/>
      <c r="P213" s="2222"/>
      <c r="Q213" s="2201"/>
      <c r="R213" s="2201"/>
      <c r="S213" s="2201"/>
      <c r="T213" s="2201"/>
      <c r="U213" s="2201"/>
      <c r="V213" s="2159"/>
      <c r="W213" s="2159"/>
      <c r="X213" s="2159"/>
      <c r="Y213" s="2159"/>
    </row>
    <row r="214" spans="1:25" s="2140" customFormat="1" ht="17.25" customHeight="1">
      <c r="A214" s="1066"/>
      <c r="B214" s="2223"/>
      <c r="C214" s="318" t="s">
        <v>5706</v>
      </c>
      <c r="D214" s="2216"/>
      <c r="E214" s="2216"/>
      <c r="F214" s="2216"/>
      <c r="G214" s="2216"/>
      <c r="H214" s="2211"/>
      <c r="I214" s="2217"/>
      <c r="J214" s="2218"/>
      <c r="K214" s="2218"/>
      <c r="L214" s="2219"/>
      <c r="M214" s="2219"/>
      <c r="N214" s="2221"/>
      <c r="O214" s="2221"/>
      <c r="P214" s="2161"/>
      <c r="Q214" s="2201"/>
      <c r="R214" s="2201"/>
      <c r="S214" s="2201"/>
      <c r="T214" s="2201"/>
      <c r="U214" s="2201"/>
      <c r="V214" s="2159"/>
      <c r="W214" s="2159"/>
      <c r="X214" s="2159"/>
      <c r="Y214" s="2159"/>
    </row>
    <row r="215" spans="1:25" s="2140" customFormat="1" ht="25.5" customHeight="1">
      <c r="A215" s="1066"/>
      <c r="B215" s="2223"/>
      <c r="C215" s="2348" t="s">
        <v>5707</v>
      </c>
      <c r="D215" s="2348"/>
      <c r="E215" s="2348"/>
      <c r="F215" s="2348"/>
      <c r="G215" s="2348"/>
      <c r="H215" s="2348"/>
      <c r="I215" s="2348"/>
      <c r="J215" s="2348"/>
      <c r="K215" s="2218"/>
      <c r="L215" s="2219"/>
      <c r="M215" s="2224" t="s">
        <v>324</v>
      </c>
      <c r="N215" s="2221"/>
      <c r="O215" s="2221"/>
      <c r="P215" s="2161"/>
      <c r="Q215" s="2201"/>
      <c r="R215" s="2201"/>
      <c r="S215" s="2201"/>
      <c r="T215" s="2201"/>
      <c r="U215" s="2201"/>
      <c r="V215" s="2159"/>
      <c r="W215" s="2159"/>
      <c r="X215" s="2159"/>
      <c r="Y215" s="2159"/>
    </row>
    <row r="216" spans="1:25" s="2140" customFormat="1" ht="17.25" customHeight="1">
      <c r="A216" s="1066"/>
      <c r="B216" s="2223"/>
      <c r="C216" s="655" t="s">
        <v>5708</v>
      </c>
      <c r="D216" s="2225"/>
      <c r="E216" s="2142"/>
      <c r="F216" s="2226"/>
      <c r="G216" s="2226"/>
      <c r="H216" s="2226"/>
      <c r="I216" s="2227"/>
      <c r="J216" s="2143" t="s">
        <v>5709</v>
      </c>
      <c r="K216" s="2228" t="s">
        <v>5710</v>
      </c>
      <c r="L216" s="2349" t="s">
        <v>5711</v>
      </c>
      <c r="M216" s="2350"/>
      <c r="N216" s="2221"/>
      <c r="O216" s="2229" t="s">
        <v>5712</v>
      </c>
      <c r="P216" s="2161"/>
      <c r="Q216" s="2201"/>
      <c r="R216" s="2201"/>
      <c r="S216" s="2201"/>
      <c r="T216" s="2201"/>
      <c r="U216" s="2201"/>
      <c r="V216" s="2159"/>
      <c r="W216" s="2159"/>
      <c r="X216" s="2159"/>
      <c r="Y216" s="2159"/>
    </row>
    <row r="217" spans="1:25" s="2140" customFormat="1" ht="17.25" customHeight="1">
      <c r="A217" s="1066"/>
      <c r="B217" s="2223"/>
      <c r="C217" s="2141" t="s">
        <v>5713</v>
      </c>
      <c r="D217" s="2230"/>
      <c r="E217" s="2142"/>
      <c r="F217" s="2231"/>
      <c r="G217" s="2231"/>
      <c r="H217" s="2231"/>
      <c r="I217" s="2227"/>
      <c r="J217" s="2232"/>
      <c r="K217" s="2233"/>
      <c r="L217" s="159" t="str">
        <f>IF(AND(O217=1,M217="")=TRUE,"※","")</f>
        <v/>
      </c>
      <c r="M217" s="2189"/>
      <c r="N217" s="2221"/>
      <c r="O217" s="2229">
        <v>0</v>
      </c>
      <c r="Q217" s="2201"/>
      <c r="R217" s="2201"/>
      <c r="S217" s="2201"/>
      <c r="T217" s="2201"/>
      <c r="U217" s="2201"/>
      <c r="V217" s="2159"/>
      <c r="W217" s="2159"/>
      <c r="X217" s="2159"/>
      <c r="Y217" s="2159"/>
    </row>
    <row r="218" spans="1:25" s="2140" customFormat="1" ht="17.25" customHeight="1">
      <c r="A218" s="1066"/>
      <c r="B218" s="2223"/>
      <c r="C218" s="2141" t="s">
        <v>5714</v>
      </c>
      <c r="D218" s="2234"/>
      <c r="E218" s="2142"/>
      <c r="F218" s="2231"/>
      <c r="G218" s="2231"/>
      <c r="H218" s="2231"/>
      <c r="I218" s="2227"/>
      <c r="J218" s="2232"/>
      <c r="K218" s="2233"/>
      <c r="L218" s="159" t="str">
        <f t="shared" ref="L218:L224" si="8">IF(AND(O218=1,M218="")=TRUE,"※","")</f>
        <v/>
      </c>
      <c r="M218" s="2189"/>
      <c r="N218" s="2221"/>
      <c r="O218" s="2229">
        <v>0</v>
      </c>
      <c r="Q218" s="2201"/>
      <c r="R218" s="2201"/>
      <c r="S218" s="2201"/>
      <c r="T218" s="2201"/>
      <c r="U218" s="2201"/>
      <c r="V218" s="2159"/>
      <c r="W218" s="2159"/>
      <c r="X218" s="2159"/>
      <c r="Y218" s="2159"/>
    </row>
    <row r="219" spans="1:25" s="2140" customFormat="1" ht="17.25" customHeight="1">
      <c r="A219" s="1066"/>
      <c r="B219" s="2223"/>
      <c r="C219" s="2141" t="s">
        <v>5715</v>
      </c>
      <c r="D219" s="2234"/>
      <c r="E219" s="2142"/>
      <c r="F219" s="2231"/>
      <c r="G219" s="2231"/>
      <c r="H219" s="2231"/>
      <c r="I219" s="2227"/>
      <c r="J219" s="2232"/>
      <c r="K219" s="2233"/>
      <c r="L219" s="159" t="str">
        <f t="shared" si="8"/>
        <v/>
      </c>
      <c r="M219" s="2189"/>
      <c r="N219" s="2221"/>
      <c r="O219" s="2229">
        <v>0</v>
      </c>
      <c r="Q219" s="2201"/>
      <c r="R219" s="2201"/>
      <c r="S219" s="2201"/>
      <c r="T219" s="2201"/>
      <c r="U219" s="2201"/>
      <c r="V219" s="2159"/>
      <c r="W219" s="2159"/>
      <c r="X219" s="2159"/>
      <c r="Y219" s="2159"/>
    </row>
    <row r="220" spans="1:25" s="2140" customFormat="1" ht="17.25" customHeight="1">
      <c r="A220" s="1066"/>
      <c r="B220" s="2223"/>
      <c r="C220" s="2141" t="s">
        <v>5716</v>
      </c>
      <c r="D220" s="2225"/>
      <c r="E220" s="2142"/>
      <c r="F220" s="2231"/>
      <c r="G220" s="2231"/>
      <c r="H220" s="2231"/>
      <c r="I220" s="2227"/>
      <c r="J220" s="2232"/>
      <c r="K220" s="2233"/>
      <c r="L220" s="159" t="str">
        <f t="shared" si="8"/>
        <v/>
      </c>
      <c r="M220" s="2189"/>
      <c r="N220" s="2221"/>
      <c r="O220" s="2229">
        <v>0</v>
      </c>
      <c r="Q220" s="2201"/>
      <c r="R220" s="2201"/>
      <c r="S220" s="2201"/>
      <c r="T220" s="2201"/>
      <c r="U220" s="2201"/>
      <c r="V220" s="2159"/>
      <c r="W220" s="2159"/>
      <c r="X220" s="2159"/>
      <c r="Y220" s="2159"/>
    </row>
    <row r="221" spans="1:25" s="2140" customFormat="1" ht="17.25" customHeight="1">
      <c r="A221" s="1066"/>
      <c r="B221" s="2223"/>
      <c r="C221" s="2141" t="s">
        <v>5717</v>
      </c>
      <c r="D221" s="2225"/>
      <c r="E221" s="2142"/>
      <c r="F221" s="2231"/>
      <c r="G221" s="2231"/>
      <c r="H221" s="2231"/>
      <c r="I221" s="2227"/>
      <c r="J221" s="2232"/>
      <c r="K221" s="2233"/>
      <c r="L221" s="159" t="str">
        <f t="shared" si="8"/>
        <v/>
      </c>
      <c r="M221" s="2189"/>
      <c r="N221" s="2221"/>
      <c r="O221" s="2229">
        <v>0</v>
      </c>
      <c r="Q221" s="2201"/>
      <c r="R221" s="2201"/>
      <c r="S221" s="2201"/>
      <c r="T221" s="2201"/>
      <c r="U221" s="2201"/>
      <c r="V221" s="2159"/>
      <c r="W221" s="2159"/>
      <c r="X221" s="2159"/>
      <c r="Y221" s="2159"/>
    </row>
    <row r="222" spans="1:25" s="2140" customFormat="1" ht="17.25" customHeight="1">
      <c r="A222" s="1066"/>
      <c r="B222" s="2223"/>
      <c r="C222" s="2141" t="s">
        <v>5718</v>
      </c>
      <c r="D222" s="2225"/>
      <c r="E222" s="2142"/>
      <c r="F222" s="2231"/>
      <c r="G222" s="2231"/>
      <c r="H222" s="2231"/>
      <c r="I222" s="2227"/>
      <c r="J222" s="2232"/>
      <c r="K222" s="2233"/>
      <c r="L222" s="159" t="str">
        <f t="shared" si="8"/>
        <v/>
      </c>
      <c r="M222" s="2189"/>
      <c r="N222" s="2221"/>
      <c r="O222" s="2229">
        <v>0</v>
      </c>
      <c r="Q222" s="2201"/>
      <c r="R222" s="2201"/>
      <c r="S222" s="2201"/>
      <c r="T222" s="2201"/>
      <c r="U222" s="2201"/>
      <c r="V222" s="2159"/>
      <c r="W222" s="2159"/>
      <c r="X222" s="2159"/>
      <c r="Y222" s="2159"/>
    </row>
    <row r="223" spans="1:25" s="2140" customFormat="1" ht="17.25" customHeight="1">
      <c r="A223" s="1066"/>
      <c r="B223" s="2223"/>
      <c r="C223" s="2141" t="s">
        <v>5719</v>
      </c>
      <c r="D223" s="2225"/>
      <c r="E223" s="2142"/>
      <c r="F223" s="2231"/>
      <c r="G223" s="2231"/>
      <c r="H223" s="2231"/>
      <c r="I223" s="2227"/>
      <c r="J223" s="2232"/>
      <c r="K223" s="2233"/>
      <c r="L223" s="159" t="str">
        <f t="shared" si="8"/>
        <v/>
      </c>
      <c r="M223" s="2189"/>
      <c r="N223" s="2221"/>
      <c r="O223" s="2229">
        <v>0</v>
      </c>
      <c r="Q223" s="2201"/>
      <c r="R223" s="2201"/>
      <c r="S223" s="2201"/>
      <c r="T223" s="2201"/>
      <c r="U223" s="2201"/>
      <c r="V223" s="2159"/>
      <c r="W223" s="2159"/>
      <c r="X223" s="2159"/>
      <c r="Y223" s="2159"/>
    </row>
    <row r="224" spans="1:25" s="2140" customFormat="1" ht="17.25" customHeight="1">
      <c r="A224" s="1066"/>
      <c r="B224" s="2223"/>
      <c r="C224" s="2141" t="s">
        <v>5720</v>
      </c>
      <c r="D224" s="2225"/>
      <c r="E224" s="2139"/>
      <c r="F224" s="2341"/>
      <c r="G224" s="2342"/>
      <c r="H224" s="2342"/>
      <c r="I224" s="2343"/>
      <c r="J224" s="2232"/>
      <c r="K224" s="2233"/>
      <c r="L224" s="159" t="str">
        <f t="shared" si="8"/>
        <v/>
      </c>
      <c r="M224" s="2189"/>
      <c r="N224" s="2221"/>
      <c r="O224" s="2229">
        <v>0</v>
      </c>
      <c r="Q224" s="2201"/>
      <c r="R224" s="2201"/>
      <c r="S224" s="2201"/>
      <c r="T224" s="2201"/>
      <c r="U224" s="2201"/>
      <c r="V224" s="2159"/>
      <c r="W224" s="2159"/>
      <c r="X224" s="2159"/>
      <c r="Y224" s="2159"/>
    </row>
    <row r="225" spans="1:33" s="2140" customFormat="1" ht="17.25" customHeight="1">
      <c r="A225" s="1066"/>
      <c r="B225" s="2223"/>
      <c r="C225" s="2344" t="s">
        <v>5721</v>
      </c>
      <c r="D225" s="2344"/>
      <c r="E225" s="2344"/>
      <c r="F225" s="2345"/>
      <c r="G225" s="2345"/>
      <c r="H225" s="2346"/>
      <c r="I225" s="2235"/>
      <c r="J225" s="2236"/>
      <c r="K225" s="2237"/>
      <c r="L225" s="159" t="str">
        <f>IF(M225="","※",IF(AND(M225&lt;&gt;"",M225&gt;J10)=TRUE,"E",""))</f>
        <v/>
      </c>
      <c r="M225" s="2208">
        <f>SUM(M217:M224)</f>
        <v>0</v>
      </c>
      <c r="N225" s="2221"/>
      <c r="O225" s="2221"/>
      <c r="P225" s="2161"/>
      <c r="Q225" s="2201"/>
      <c r="R225" s="2201"/>
      <c r="S225" s="2201"/>
      <c r="T225" s="2201"/>
      <c r="U225" s="2201"/>
      <c r="V225" s="2159"/>
      <c r="W225" s="2159"/>
      <c r="X225" s="2159"/>
      <c r="Y225" s="2159"/>
    </row>
    <row r="226" spans="1:33" s="2140" customFormat="1" ht="17.25" customHeight="1">
      <c r="A226" s="1066"/>
      <c r="B226" s="2223"/>
      <c r="C226" s="2216"/>
      <c r="D226" s="2216"/>
      <c r="E226" s="2216"/>
      <c r="F226" s="2216"/>
      <c r="G226" s="2216"/>
      <c r="H226" s="2211"/>
      <c r="I226" s="2217"/>
      <c r="J226" s="2218"/>
      <c r="K226" s="2218"/>
      <c r="L226" s="2219"/>
      <c r="M226" s="2238" t="str">
        <f>IF(L225="E","材料費より更生用管材料の方が大きくなっています。","")</f>
        <v/>
      </c>
      <c r="N226" s="2221"/>
      <c r="O226" s="2221"/>
      <c r="P226" s="2161"/>
      <c r="Q226" s="2201"/>
      <c r="R226" s="2201"/>
      <c r="S226" s="2201"/>
      <c r="T226" s="2201"/>
      <c r="U226" s="2201"/>
      <c r="V226" s="2159"/>
      <c r="W226" s="2159"/>
      <c r="X226" s="2159"/>
      <c r="Y226" s="2159"/>
    </row>
    <row r="227" spans="1:33" s="2140" customFormat="1" ht="24" customHeight="1">
      <c r="A227" s="1066"/>
      <c r="B227" s="2223"/>
      <c r="C227" s="2140" t="s">
        <v>5722</v>
      </c>
      <c r="D227" s="2216"/>
      <c r="E227" s="2216"/>
      <c r="F227" s="2216"/>
      <c r="G227" s="2216"/>
      <c r="H227" s="2211"/>
      <c r="I227" s="2217"/>
      <c r="J227" s="2218"/>
      <c r="K227" s="2218"/>
      <c r="L227" s="2219"/>
      <c r="M227" s="2219"/>
      <c r="N227" s="2221"/>
      <c r="O227" s="2221"/>
      <c r="P227" s="2161"/>
      <c r="Q227" s="2201"/>
      <c r="R227" s="2201"/>
      <c r="S227" s="2201"/>
      <c r="T227" s="2201"/>
      <c r="U227" s="2201"/>
      <c r="V227" s="2159"/>
      <c r="W227" s="2159"/>
      <c r="X227" s="2159"/>
      <c r="Y227" s="2159"/>
    </row>
    <row r="228" spans="1:33" s="2140" customFormat="1" ht="17.25" customHeight="1">
      <c r="A228" s="1066"/>
      <c r="B228" s="1066"/>
      <c r="C228" s="2162"/>
      <c r="D228" s="20"/>
      <c r="E228" s="20"/>
      <c r="F228" s="20"/>
      <c r="G228" s="20"/>
      <c r="H228" s="20"/>
      <c r="I228" s="2239"/>
      <c r="J228" s="675"/>
      <c r="K228" s="86"/>
      <c r="L228" s="86"/>
      <c r="M228" s="86"/>
      <c r="N228" s="86"/>
      <c r="O228" s="86"/>
      <c r="P228" s="86"/>
      <c r="Q228" s="86"/>
      <c r="R228" s="86"/>
      <c r="S228" s="86"/>
      <c r="T228" s="86"/>
      <c r="U228" s="86"/>
    </row>
    <row r="229" spans="1:33" s="87" customFormat="1" ht="18.75" hidden="1" customHeight="1">
      <c r="A229" s="3"/>
      <c r="B229" s="661" t="s">
        <v>788</v>
      </c>
      <c r="C229" s="664" t="s">
        <v>803</v>
      </c>
      <c r="D229" s="665"/>
      <c r="E229" s="665"/>
      <c r="F229" s="666"/>
      <c r="G229" s="318"/>
      <c r="H229" s="318"/>
      <c r="I229" s="318"/>
      <c r="J229" s="660"/>
      <c r="K229" s="217"/>
      <c r="L229" s="217"/>
      <c r="M229" s="217"/>
      <c r="N229" s="217"/>
      <c r="O229" s="217"/>
      <c r="P229" s="217"/>
      <c r="Q229" s="217"/>
      <c r="R229" s="217"/>
      <c r="S229" s="217"/>
      <c r="T229" s="217"/>
      <c r="U229" s="217"/>
    </row>
    <row r="230" spans="1:33" ht="14.25" hidden="1">
      <c r="B230" s="622"/>
      <c r="C230" s="318" t="s">
        <v>340</v>
      </c>
      <c r="D230" s="659"/>
      <c r="E230" s="659"/>
      <c r="F230" s="659"/>
      <c r="G230" s="318"/>
      <c r="H230" s="318"/>
      <c r="I230" s="318"/>
      <c r="J230" s="660"/>
      <c r="K230" s="217"/>
      <c r="AA230" s="652"/>
      <c r="AB230" s="653"/>
      <c r="AC230" s="653"/>
      <c r="AD230" s="653"/>
      <c r="AE230" s="72"/>
      <c r="AF230" s="653"/>
      <c r="AG230" s="72"/>
    </row>
    <row r="231" spans="1:33" ht="27" hidden="1" customHeight="1">
      <c r="B231" s="622"/>
      <c r="C231" s="2340" t="s">
        <v>804</v>
      </c>
      <c r="D231" s="2340"/>
      <c r="E231" s="2340"/>
      <c r="F231" s="2340"/>
      <c r="G231" s="2340"/>
      <c r="H231" s="2340"/>
      <c r="I231" s="318"/>
      <c r="J231" s="660"/>
      <c r="K231" s="217"/>
      <c r="AA231" s="652"/>
      <c r="AB231" s="653"/>
      <c r="AC231" s="653"/>
      <c r="AD231" s="72"/>
      <c r="AE231" s="72"/>
      <c r="AF231" s="72"/>
      <c r="AG231" s="72"/>
    </row>
    <row r="232" spans="1:33" ht="26.25" hidden="1" customHeight="1">
      <c r="C232" s="217"/>
      <c r="D232" s="217"/>
      <c r="E232" s="612"/>
      <c r="F232" s="612"/>
      <c r="G232" s="612"/>
      <c r="H232" s="624" t="s">
        <v>523</v>
      </c>
      <c r="I232" s="87"/>
      <c r="J232" s="660"/>
      <c r="K232" s="217"/>
      <c r="AA232" s="652"/>
      <c r="AB232" s="653"/>
      <c r="AC232" s="653"/>
      <c r="AD232" s="72"/>
      <c r="AE232" s="72"/>
      <c r="AF232" s="72"/>
      <c r="AG232" s="72"/>
    </row>
    <row r="233" spans="1:33" ht="24" hidden="1" customHeight="1">
      <c r="C233" s="2338" t="s">
        <v>798</v>
      </c>
      <c r="D233" s="2338"/>
      <c r="E233" s="2338"/>
      <c r="F233" s="2338"/>
      <c r="G233" s="667"/>
      <c r="H233" s="668"/>
      <c r="I233" s="660"/>
      <c r="J233" s="660"/>
      <c r="K233" s="217"/>
      <c r="AA233" s="652"/>
      <c r="AB233" s="653"/>
      <c r="AC233" s="653"/>
      <c r="AD233" s="653"/>
      <c r="AE233" s="72"/>
      <c r="AF233" s="72"/>
      <c r="AG233" s="72"/>
    </row>
    <row r="234" spans="1:33" ht="24" hidden="1" customHeight="1">
      <c r="C234" s="2338" t="s">
        <v>802</v>
      </c>
      <c r="D234" s="2338"/>
      <c r="E234" s="2338"/>
      <c r="F234" s="2338"/>
      <c r="G234" s="667"/>
      <c r="H234" s="669"/>
      <c r="I234" s="570" t="str">
        <f>IF(G234="※","←支給品（機器）相当額を入力してください。","")</f>
        <v/>
      </c>
      <c r="J234" s="660"/>
      <c r="K234" s="217"/>
      <c r="AA234" s="652"/>
      <c r="AB234" s="653"/>
      <c r="AC234" s="653"/>
      <c r="AD234" s="72"/>
      <c r="AE234" s="72"/>
      <c r="AF234" s="653"/>
      <c r="AG234" s="653"/>
    </row>
    <row r="235" spans="1:33" ht="13.5" hidden="1" customHeight="1">
      <c r="C235" s="24"/>
      <c r="D235" s="659"/>
      <c r="E235" s="659"/>
      <c r="F235" s="659"/>
      <c r="G235" s="659"/>
      <c r="H235" s="659"/>
      <c r="I235" s="151"/>
      <c r="J235" s="660"/>
      <c r="K235" s="217"/>
      <c r="AA235" s="652"/>
      <c r="AB235" s="653"/>
      <c r="AC235" s="653"/>
      <c r="AD235" s="72"/>
      <c r="AE235" s="72"/>
      <c r="AF235" s="72"/>
      <c r="AG235" s="653"/>
    </row>
    <row r="236" spans="1:33" ht="13.5" hidden="1" customHeight="1">
      <c r="AA236" s="652"/>
      <c r="AB236" s="653"/>
      <c r="AC236" s="653"/>
      <c r="AD236" s="653"/>
      <c r="AE236" s="653"/>
      <c r="AF236" s="653"/>
      <c r="AG236" s="653"/>
    </row>
    <row r="237" spans="1:33" ht="27.75" hidden="1" customHeight="1">
      <c r="B237" s="661" t="s">
        <v>155</v>
      </c>
      <c r="C237" s="664" t="s">
        <v>2</v>
      </c>
      <c r="D237" s="665"/>
      <c r="E237" s="665"/>
      <c r="F237" s="665"/>
      <c r="G237" s="687"/>
      <c r="H237" s="318"/>
      <c r="I237" s="318"/>
      <c r="J237" s="660"/>
      <c r="K237" s="217"/>
      <c r="AA237" s="652"/>
      <c r="AB237" s="653"/>
      <c r="AC237" s="72"/>
      <c r="AD237" s="653"/>
      <c r="AE237" s="72"/>
      <c r="AF237" s="72"/>
      <c r="AG237" s="653"/>
    </row>
    <row r="238" spans="1:33" ht="27.75" hidden="1" customHeight="1">
      <c r="B238" s="217" t="s">
        <v>3</v>
      </c>
      <c r="C238" s="5"/>
      <c r="AA238" s="652"/>
      <c r="AB238" s="653"/>
      <c r="AC238" s="653"/>
      <c r="AD238" s="653"/>
      <c r="AE238" s="653"/>
      <c r="AF238" s="653"/>
      <c r="AG238" s="653"/>
    </row>
    <row r="239" spans="1:33" ht="92.25" hidden="1" customHeight="1">
      <c r="B239" s="688" t="s">
        <v>4</v>
      </c>
      <c r="C239" s="2375" t="s">
        <v>282</v>
      </c>
      <c r="D239" s="2376"/>
      <c r="E239" s="2376"/>
      <c r="F239" s="2376"/>
      <c r="G239" s="2376"/>
      <c r="H239" s="2376"/>
      <c r="I239" s="2376"/>
      <c r="J239" s="2376"/>
      <c r="K239" s="2376"/>
      <c r="L239" s="2376"/>
      <c r="M239" s="2377"/>
      <c r="N239" s="923"/>
      <c r="O239" s="909"/>
      <c r="P239" s="830"/>
      <c r="AA239" s="652"/>
      <c r="AB239" s="653"/>
      <c r="AC239" s="72"/>
      <c r="AD239" s="72"/>
      <c r="AE239" s="72"/>
      <c r="AF239" s="72"/>
      <c r="AG239" s="72"/>
    </row>
    <row r="240" spans="1:33" ht="27" hidden="1" customHeight="1">
      <c r="B240" s="661" t="s">
        <v>656</v>
      </c>
      <c r="C240" s="2372" t="s">
        <v>183</v>
      </c>
      <c r="D240" s="2373"/>
      <c r="E240" s="2373"/>
      <c r="F240" s="2373"/>
      <c r="G240" s="2374"/>
      <c r="H240" s="663" t="s">
        <v>182</v>
      </c>
      <c r="I240" s="683" t="s">
        <v>184</v>
      </c>
      <c r="J240" s="682" t="s">
        <v>185</v>
      </c>
      <c r="K240" s="663" t="s">
        <v>221</v>
      </c>
      <c r="L240" s="2339" t="s">
        <v>284</v>
      </c>
      <c r="M240" s="2339"/>
      <c r="N240" s="924"/>
      <c r="O240" s="921" t="s">
        <v>660</v>
      </c>
      <c r="P240" s="847" t="s">
        <v>661</v>
      </c>
      <c r="AA240" s="652"/>
      <c r="AB240" s="653"/>
      <c r="AC240" s="653"/>
      <c r="AD240" s="72"/>
      <c r="AE240" s="72"/>
      <c r="AF240" s="72"/>
      <c r="AG240" s="72"/>
    </row>
    <row r="241" spans="2:33" ht="27" hidden="1" customHeight="1">
      <c r="B241" s="1020"/>
      <c r="C241" s="2314"/>
      <c r="D241" s="2358"/>
      <c r="E241" s="2358"/>
      <c r="F241" s="2358"/>
      <c r="G241" s="2359"/>
      <c r="H241" s="684"/>
      <c r="I241" s="685"/>
      <c r="J241" s="1474"/>
      <c r="K241" s="916"/>
      <c r="L241" s="2327"/>
      <c r="M241" s="2328"/>
      <c r="N241" s="925" t="str">
        <f>IF(P241="E","「工事価格」より金額が大きくなっています。千円単位の入力になっているか確認してください。","")</f>
        <v/>
      </c>
      <c r="O241" s="922">
        <f t="shared" ref="O241" si="9">COUNTBLANK($C241:$M241)</f>
        <v>11</v>
      </c>
      <c r="P241" s="910" t="str">
        <f>IF($K241&gt;$J$57,"E","")</f>
        <v/>
      </c>
      <c r="AA241" s="652"/>
      <c r="AB241" s="653"/>
      <c r="AC241" s="653"/>
      <c r="AD241" s="72"/>
      <c r="AE241" s="72"/>
      <c r="AF241" s="72"/>
      <c r="AG241" s="72"/>
    </row>
    <row r="242" spans="2:33" ht="27" hidden="1" customHeight="1">
      <c r="B242" s="1020"/>
      <c r="C242" s="2314"/>
      <c r="D242" s="2358"/>
      <c r="E242" s="2358"/>
      <c r="F242" s="2358"/>
      <c r="G242" s="2359"/>
      <c r="H242" s="684"/>
      <c r="I242" s="685"/>
      <c r="J242" s="1475"/>
      <c r="K242" s="686"/>
      <c r="L242" s="2329"/>
      <c r="M242" s="2328"/>
      <c r="N242" s="925" t="str">
        <f t="shared" ref="N242:N305" si="10">IF(P242="E","「工事価格」より金額が大きくなっています。千円単位の入力になっているか確認してください。","")</f>
        <v/>
      </c>
      <c r="O242" s="922">
        <f>COUNTBLANK($C242:$M242)</f>
        <v>11</v>
      </c>
      <c r="P242" s="848" t="str">
        <f t="shared" ref="P242:P305" si="11">IF($K242&gt;$J$57,"E","")</f>
        <v/>
      </c>
      <c r="AA242" s="651"/>
      <c r="AB242" s="71"/>
      <c r="AC242" s="71"/>
      <c r="AD242" s="71"/>
      <c r="AE242" s="71"/>
      <c r="AF242" s="71"/>
      <c r="AG242" s="653"/>
    </row>
    <row r="243" spans="2:33" ht="27" hidden="1" customHeight="1">
      <c r="B243" s="1020"/>
      <c r="C243" s="2314"/>
      <c r="D243" s="2315"/>
      <c r="E243" s="2315"/>
      <c r="F243" s="2315"/>
      <c r="G243" s="2316"/>
      <c r="H243" s="684"/>
      <c r="I243" s="685"/>
      <c r="J243" s="1475"/>
      <c r="K243" s="686"/>
      <c r="L243" s="2329"/>
      <c r="M243" s="2328"/>
      <c r="N243" s="925" t="str">
        <f t="shared" si="10"/>
        <v/>
      </c>
      <c r="O243" s="922">
        <f t="shared" ref="O243:O306" si="12">COUNTBLANK($C243:$M243)</f>
        <v>11</v>
      </c>
      <c r="P243" s="848" t="str">
        <f t="shared" si="11"/>
        <v/>
      </c>
      <c r="AA243" s="651"/>
      <c r="AB243" s="71"/>
      <c r="AC243" s="71"/>
      <c r="AD243" s="71"/>
      <c r="AE243" s="71"/>
      <c r="AF243" s="71"/>
      <c r="AG243" s="653"/>
    </row>
    <row r="244" spans="2:33" ht="27" hidden="1" customHeight="1">
      <c r="B244" s="1020"/>
      <c r="C244" s="2314"/>
      <c r="D244" s="2315"/>
      <c r="E244" s="2315"/>
      <c r="F244" s="2315"/>
      <c r="G244" s="2316"/>
      <c r="H244" s="684"/>
      <c r="I244" s="685"/>
      <c r="J244" s="1475"/>
      <c r="K244" s="686"/>
      <c r="L244" s="2329"/>
      <c r="M244" s="2328"/>
      <c r="N244" s="925" t="str">
        <f t="shared" si="10"/>
        <v/>
      </c>
      <c r="O244" s="922">
        <f t="shared" si="12"/>
        <v>11</v>
      </c>
      <c r="P244" s="848" t="str">
        <f t="shared" si="11"/>
        <v/>
      </c>
      <c r="AA244" s="651"/>
      <c r="AB244" s="71"/>
      <c r="AC244" s="71"/>
      <c r="AD244" s="71"/>
      <c r="AE244" s="71"/>
      <c r="AF244" s="71"/>
      <c r="AG244" s="653"/>
    </row>
    <row r="245" spans="2:33" ht="27" hidden="1" customHeight="1">
      <c r="B245" s="1020"/>
      <c r="C245" s="2314"/>
      <c r="D245" s="2315"/>
      <c r="E245" s="2315"/>
      <c r="F245" s="2315"/>
      <c r="G245" s="2316"/>
      <c r="H245" s="684"/>
      <c r="I245" s="685"/>
      <c r="J245" s="1475"/>
      <c r="K245" s="686"/>
      <c r="L245" s="2329"/>
      <c r="M245" s="2328"/>
      <c r="N245" s="925" t="str">
        <f t="shared" si="10"/>
        <v/>
      </c>
      <c r="O245" s="922">
        <f t="shared" si="12"/>
        <v>11</v>
      </c>
      <c r="P245" s="848" t="str">
        <f t="shared" si="11"/>
        <v/>
      </c>
      <c r="AA245" s="652"/>
      <c r="AB245" s="71"/>
      <c r="AC245" s="71"/>
      <c r="AD245" s="71"/>
      <c r="AE245" s="71"/>
      <c r="AF245" s="71"/>
      <c r="AG245" s="653"/>
    </row>
    <row r="246" spans="2:33" ht="27" hidden="1" customHeight="1">
      <c r="B246" s="1020"/>
      <c r="C246" s="2314"/>
      <c r="D246" s="2315"/>
      <c r="E246" s="2315"/>
      <c r="F246" s="2315"/>
      <c r="G246" s="2316"/>
      <c r="H246" s="684"/>
      <c r="I246" s="685"/>
      <c r="J246" s="1475"/>
      <c r="K246" s="686"/>
      <c r="L246" s="2329"/>
      <c r="M246" s="2328"/>
      <c r="N246" s="925" t="str">
        <f t="shared" si="10"/>
        <v/>
      </c>
      <c r="O246" s="922">
        <f t="shared" si="12"/>
        <v>11</v>
      </c>
      <c r="P246" s="848" t="str">
        <f t="shared" si="11"/>
        <v/>
      </c>
    </row>
    <row r="247" spans="2:33" ht="27" hidden="1" customHeight="1">
      <c r="B247" s="1020"/>
      <c r="C247" s="2314"/>
      <c r="D247" s="2315"/>
      <c r="E247" s="2315"/>
      <c r="F247" s="2315"/>
      <c r="G247" s="2316"/>
      <c r="H247" s="684"/>
      <c r="I247" s="685"/>
      <c r="J247" s="1475"/>
      <c r="K247" s="686"/>
      <c r="L247" s="2329"/>
      <c r="M247" s="2328"/>
      <c r="N247" s="925" t="str">
        <f t="shared" si="10"/>
        <v/>
      </c>
      <c r="O247" s="922">
        <f t="shared" si="12"/>
        <v>11</v>
      </c>
      <c r="P247" s="848" t="str">
        <f t="shared" si="11"/>
        <v/>
      </c>
    </row>
    <row r="248" spans="2:33" ht="27" hidden="1" customHeight="1">
      <c r="B248" s="1020"/>
      <c r="C248" s="2314"/>
      <c r="D248" s="2315"/>
      <c r="E248" s="2315"/>
      <c r="F248" s="2315"/>
      <c r="G248" s="2316"/>
      <c r="H248" s="684"/>
      <c r="I248" s="685"/>
      <c r="J248" s="1475"/>
      <c r="K248" s="686"/>
      <c r="L248" s="2329"/>
      <c r="M248" s="2328"/>
      <c r="N248" s="925" t="str">
        <f t="shared" si="10"/>
        <v/>
      </c>
      <c r="O248" s="922">
        <f t="shared" si="12"/>
        <v>11</v>
      </c>
      <c r="P248" s="848" t="str">
        <f t="shared" si="11"/>
        <v/>
      </c>
    </row>
    <row r="249" spans="2:33" ht="27" hidden="1" customHeight="1">
      <c r="B249" s="1020"/>
      <c r="C249" s="2314"/>
      <c r="D249" s="2315"/>
      <c r="E249" s="2315"/>
      <c r="F249" s="2315"/>
      <c r="G249" s="2316"/>
      <c r="H249" s="684"/>
      <c r="I249" s="685"/>
      <c r="J249" s="1475"/>
      <c r="K249" s="686"/>
      <c r="L249" s="2329"/>
      <c r="M249" s="2328"/>
      <c r="N249" s="925" t="str">
        <f t="shared" si="10"/>
        <v/>
      </c>
      <c r="O249" s="922">
        <f t="shared" si="12"/>
        <v>11</v>
      </c>
      <c r="P249" s="848" t="str">
        <f t="shared" si="11"/>
        <v/>
      </c>
    </row>
    <row r="250" spans="2:33" ht="27" hidden="1" customHeight="1">
      <c r="B250" s="1020"/>
      <c r="C250" s="2314"/>
      <c r="D250" s="2315"/>
      <c r="E250" s="2315"/>
      <c r="F250" s="2315"/>
      <c r="G250" s="2316"/>
      <c r="H250" s="684"/>
      <c r="I250" s="685"/>
      <c r="J250" s="1475"/>
      <c r="K250" s="686"/>
      <c r="L250" s="2329"/>
      <c r="M250" s="2328"/>
      <c r="N250" s="925" t="str">
        <f t="shared" si="10"/>
        <v/>
      </c>
      <c r="O250" s="922">
        <f t="shared" si="12"/>
        <v>11</v>
      </c>
      <c r="P250" s="848" t="str">
        <f t="shared" si="11"/>
        <v/>
      </c>
    </row>
    <row r="251" spans="2:33" ht="27" hidden="1" customHeight="1">
      <c r="B251" s="1020"/>
      <c r="C251" s="2314"/>
      <c r="D251" s="2315"/>
      <c r="E251" s="2315"/>
      <c r="F251" s="2315"/>
      <c r="G251" s="2316"/>
      <c r="H251" s="684"/>
      <c r="I251" s="685"/>
      <c r="J251" s="1475"/>
      <c r="K251" s="686"/>
      <c r="L251" s="2329"/>
      <c r="M251" s="2328"/>
      <c r="N251" s="925" t="str">
        <f t="shared" si="10"/>
        <v/>
      </c>
      <c r="O251" s="922">
        <f t="shared" si="12"/>
        <v>11</v>
      </c>
      <c r="P251" s="848" t="str">
        <f t="shared" si="11"/>
        <v/>
      </c>
    </row>
    <row r="252" spans="2:33" ht="27" hidden="1" customHeight="1">
      <c r="B252" s="1020"/>
      <c r="C252" s="2314"/>
      <c r="D252" s="2315"/>
      <c r="E252" s="2315"/>
      <c r="F252" s="2315"/>
      <c r="G252" s="2316"/>
      <c r="H252" s="684"/>
      <c r="I252" s="685"/>
      <c r="J252" s="1475"/>
      <c r="K252" s="686"/>
      <c r="L252" s="2329"/>
      <c r="M252" s="2328"/>
      <c r="N252" s="925" t="str">
        <f t="shared" si="10"/>
        <v/>
      </c>
      <c r="O252" s="922">
        <f t="shared" si="12"/>
        <v>11</v>
      </c>
      <c r="P252" s="848" t="str">
        <f t="shared" si="11"/>
        <v/>
      </c>
    </row>
    <row r="253" spans="2:33" ht="27" hidden="1" customHeight="1">
      <c r="B253" s="1020"/>
      <c r="C253" s="2314"/>
      <c r="D253" s="2315"/>
      <c r="E253" s="2315"/>
      <c r="F253" s="2315"/>
      <c r="G253" s="2316"/>
      <c r="H253" s="684"/>
      <c r="I253" s="685"/>
      <c r="J253" s="1475"/>
      <c r="K253" s="686"/>
      <c r="L253" s="2329"/>
      <c r="M253" s="2328"/>
      <c r="N253" s="925" t="str">
        <f t="shared" si="10"/>
        <v/>
      </c>
      <c r="O253" s="922">
        <f t="shared" si="12"/>
        <v>11</v>
      </c>
      <c r="P253" s="848" t="str">
        <f t="shared" si="11"/>
        <v/>
      </c>
    </row>
    <row r="254" spans="2:33" ht="27" hidden="1" customHeight="1">
      <c r="B254" s="1020"/>
      <c r="C254" s="2314"/>
      <c r="D254" s="2315"/>
      <c r="E254" s="2315"/>
      <c r="F254" s="2315"/>
      <c r="G254" s="2316"/>
      <c r="H254" s="684"/>
      <c r="I254" s="685"/>
      <c r="J254" s="1475"/>
      <c r="K254" s="686"/>
      <c r="L254" s="2329"/>
      <c r="M254" s="2328"/>
      <c r="N254" s="925" t="str">
        <f t="shared" si="10"/>
        <v/>
      </c>
      <c r="O254" s="922">
        <f t="shared" si="12"/>
        <v>11</v>
      </c>
      <c r="P254" s="848" t="str">
        <f t="shared" si="11"/>
        <v/>
      </c>
    </row>
    <row r="255" spans="2:33" ht="27" hidden="1" customHeight="1">
      <c r="B255" s="1020"/>
      <c r="C255" s="2314"/>
      <c r="D255" s="2315"/>
      <c r="E255" s="2315"/>
      <c r="F255" s="2315"/>
      <c r="G255" s="2316"/>
      <c r="H255" s="684"/>
      <c r="I255" s="685"/>
      <c r="J255" s="1475"/>
      <c r="K255" s="686"/>
      <c r="L255" s="2329"/>
      <c r="M255" s="2328"/>
      <c r="N255" s="925" t="str">
        <f t="shared" si="10"/>
        <v/>
      </c>
      <c r="O255" s="922">
        <f t="shared" si="12"/>
        <v>11</v>
      </c>
      <c r="P255" s="848" t="str">
        <f t="shared" si="11"/>
        <v/>
      </c>
    </row>
    <row r="256" spans="2:33" ht="27" hidden="1" customHeight="1">
      <c r="B256" s="1020"/>
      <c r="C256" s="2314"/>
      <c r="D256" s="2315"/>
      <c r="E256" s="2315"/>
      <c r="F256" s="2315"/>
      <c r="G256" s="2316"/>
      <c r="H256" s="684"/>
      <c r="I256" s="685"/>
      <c r="J256" s="1475"/>
      <c r="K256" s="686"/>
      <c r="L256" s="2329"/>
      <c r="M256" s="2328"/>
      <c r="N256" s="925" t="str">
        <f t="shared" si="10"/>
        <v/>
      </c>
      <c r="O256" s="922">
        <f t="shared" si="12"/>
        <v>11</v>
      </c>
      <c r="P256" s="848" t="str">
        <f t="shared" si="11"/>
        <v/>
      </c>
    </row>
    <row r="257" spans="2:16" ht="27" hidden="1" customHeight="1">
      <c r="B257" s="1020"/>
      <c r="C257" s="2314"/>
      <c r="D257" s="2315"/>
      <c r="E257" s="2315"/>
      <c r="F257" s="2315"/>
      <c r="G257" s="2316"/>
      <c r="H257" s="684"/>
      <c r="I257" s="685"/>
      <c r="J257" s="1475"/>
      <c r="K257" s="686"/>
      <c r="L257" s="2329"/>
      <c r="M257" s="2328"/>
      <c r="N257" s="925" t="str">
        <f t="shared" si="10"/>
        <v/>
      </c>
      <c r="O257" s="922">
        <f t="shared" si="12"/>
        <v>11</v>
      </c>
      <c r="P257" s="848" t="str">
        <f t="shared" si="11"/>
        <v/>
      </c>
    </row>
    <row r="258" spans="2:16" ht="27" hidden="1" customHeight="1">
      <c r="B258" s="1020"/>
      <c r="C258" s="2314"/>
      <c r="D258" s="2315"/>
      <c r="E258" s="2315"/>
      <c r="F258" s="2315"/>
      <c r="G258" s="2316"/>
      <c r="H258" s="684"/>
      <c r="I258" s="685"/>
      <c r="J258" s="1475"/>
      <c r="K258" s="686"/>
      <c r="L258" s="2329"/>
      <c r="M258" s="2328"/>
      <c r="N258" s="925" t="str">
        <f t="shared" si="10"/>
        <v/>
      </c>
      <c r="O258" s="922">
        <f t="shared" si="12"/>
        <v>11</v>
      </c>
      <c r="P258" s="848" t="str">
        <f t="shared" si="11"/>
        <v/>
      </c>
    </row>
    <row r="259" spans="2:16" ht="27" hidden="1" customHeight="1">
      <c r="B259" s="1020"/>
      <c r="C259" s="2314"/>
      <c r="D259" s="2315"/>
      <c r="E259" s="2315"/>
      <c r="F259" s="2315"/>
      <c r="G259" s="2316"/>
      <c r="H259" s="684"/>
      <c r="I259" s="685"/>
      <c r="J259" s="1475"/>
      <c r="K259" s="686"/>
      <c r="L259" s="2329"/>
      <c r="M259" s="2328"/>
      <c r="N259" s="925" t="str">
        <f t="shared" si="10"/>
        <v/>
      </c>
      <c r="O259" s="922">
        <f t="shared" si="12"/>
        <v>11</v>
      </c>
      <c r="P259" s="848" t="str">
        <f t="shared" si="11"/>
        <v/>
      </c>
    </row>
    <row r="260" spans="2:16" ht="27" hidden="1" customHeight="1">
      <c r="B260" s="1020"/>
      <c r="C260" s="2314"/>
      <c r="D260" s="2315"/>
      <c r="E260" s="2315"/>
      <c r="F260" s="2315"/>
      <c r="G260" s="2316"/>
      <c r="H260" s="684"/>
      <c r="I260" s="685"/>
      <c r="J260" s="1475"/>
      <c r="K260" s="686"/>
      <c r="L260" s="2329"/>
      <c r="M260" s="2328"/>
      <c r="N260" s="925" t="str">
        <f t="shared" si="10"/>
        <v/>
      </c>
      <c r="O260" s="922">
        <f t="shared" si="12"/>
        <v>11</v>
      </c>
      <c r="P260" s="848" t="str">
        <f t="shared" si="11"/>
        <v/>
      </c>
    </row>
    <row r="261" spans="2:16" ht="27" hidden="1" customHeight="1">
      <c r="B261" s="1020"/>
      <c r="C261" s="2314"/>
      <c r="D261" s="2315"/>
      <c r="E261" s="2315"/>
      <c r="F261" s="2315"/>
      <c r="G261" s="2316"/>
      <c r="H261" s="684"/>
      <c r="I261" s="685"/>
      <c r="J261" s="1475"/>
      <c r="K261" s="686"/>
      <c r="L261" s="2329"/>
      <c r="M261" s="2328"/>
      <c r="N261" s="925" t="str">
        <f t="shared" si="10"/>
        <v/>
      </c>
      <c r="O261" s="922">
        <f t="shared" si="12"/>
        <v>11</v>
      </c>
      <c r="P261" s="848" t="str">
        <f t="shared" si="11"/>
        <v/>
      </c>
    </row>
    <row r="262" spans="2:16" ht="27" hidden="1" customHeight="1">
      <c r="B262" s="1020"/>
      <c r="C262" s="2314"/>
      <c r="D262" s="2315"/>
      <c r="E262" s="2315"/>
      <c r="F262" s="2315"/>
      <c r="G262" s="2316"/>
      <c r="H262" s="684"/>
      <c r="I262" s="685"/>
      <c r="J262" s="1475"/>
      <c r="K262" s="686"/>
      <c r="L262" s="2329"/>
      <c r="M262" s="2328"/>
      <c r="N262" s="925" t="str">
        <f t="shared" si="10"/>
        <v/>
      </c>
      <c r="O262" s="922">
        <f t="shared" si="12"/>
        <v>11</v>
      </c>
      <c r="P262" s="848" t="str">
        <f t="shared" si="11"/>
        <v/>
      </c>
    </row>
    <row r="263" spans="2:16" ht="27" hidden="1" customHeight="1">
      <c r="B263" s="1020"/>
      <c r="C263" s="2314"/>
      <c r="D263" s="2315"/>
      <c r="E263" s="2315"/>
      <c r="F263" s="2315"/>
      <c r="G263" s="2316"/>
      <c r="H263" s="684"/>
      <c r="I263" s="685"/>
      <c r="J263" s="1475"/>
      <c r="K263" s="686"/>
      <c r="L263" s="2329"/>
      <c r="M263" s="2328"/>
      <c r="N263" s="925" t="str">
        <f t="shared" si="10"/>
        <v/>
      </c>
      <c r="O263" s="922">
        <f t="shared" si="12"/>
        <v>11</v>
      </c>
      <c r="P263" s="848" t="str">
        <f t="shared" si="11"/>
        <v/>
      </c>
    </row>
    <row r="264" spans="2:16" ht="27" hidden="1" customHeight="1">
      <c r="B264" s="1020"/>
      <c r="C264" s="2314"/>
      <c r="D264" s="2315"/>
      <c r="E264" s="2315"/>
      <c r="F264" s="2315"/>
      <c r="G264" s="2316"/>
      <c r="H264" s="684"/>
      <c r="I264" s="685"/>
      <c r="J264" s="1475"/>
      <c r="K264" s="686"/>
      <c r="L264" s="2329"/>
      <c r="M264" s="2328"/>
      <c r="N264" s="925" t="str">
        <f t="shared" si="10"/>
        <v/>
      </c>
      <c r="O264" s="922">
        <f t="shared" si="12"/>
        <v>11</v>
      </c>
      <c r="P264" s="848" t="str">
        <f t="shared" si="11"/>
        <v/>
      </c>
    </row>
    <row r="265" spans="2:16" ht="27" hidden="1" customHeight="1">
      <c r="B265" s="1020"/>
      <c r="C265" s="2314"/>
      <c r="D265" s="2315"/>
      <c r="E265" s="2315"/>
      <c r="F265" s="2315"/>
      <c r="G265" s="2316"/>
      <c r="H265" s="684"/>
      <c r="I265" s="685"/>
      <c r="J265" s="1475"/>
      <c r="K265" s="686"/>
      <c r="L265" s="2329"/>
      <c r="M265" s="2328"/>
      <c r="N265" s="925" t="str">
        <f t="shared" si="10"/>
        <v/>
      </c>
      <c r="O265" s="922">
        <f t="shared" si="12"/>
        <v>11</v>
      </c>
      <c r="P265" s="848" t="str">
        <f t="shared" si="11"/>
        <v/>
      </c>
    </row>
    <row r="266" spans="2:16" ht="27" hidden="1" customHeight="1">
      <c r="B266" s="1020"/>
      <c r="C266" s="2314"/>
      <c r="D266" s="2315"/>
      <c r="E266" s="2315"/>
      <c r="F266" s="2315"/>
      <c r="G266" s="2316"/>
      <c r="H266" s="684"/>
      <c r="I266" s="685"/>
      <c r="J266" s="1475"/>
      <c r="K266" s="686"/>
      <c r="L266" s="2329"/>
      <c r="M266" s="2328"/>
      <c r="N266" s="925" t="str">
        <f t="shared" si="10"/>
        <v/>
      </c>
      <c r="O266" s="922">
        <f t="shared" si="12"/>
        <v>11</v>
      </c>
      <c r="P266" s="848" t="str">
        <f t="shared" si="11"/>
        <v/>
      </c>
    </row>
    <row r="267" spans="2:16" ht="27" hidden="1" customHeight="1">
      <c r="B267" s="1020"/>
      <c r="C267" s="2314"/>
      <c r="D267" s="2315"/>
      <c r="E267" s="2315"/>
      <c r="F267" s="2315"/>
      <c r="G267" s="2316"/>
      <c r="H267" s="684"/>
      <c r="I267" s="685"/>
      <c r="J267" s="1475"/>
      <c r="K267" s="686"/>
      <c r="L267" s="2329"/>
      <c r="M267" s="2328"/>
      <c r="N267" s="925" t="str">
        <f t="shared" si="10"/>
        <v/>
      </c>
      <c r="O267" s="922">
        <f t="shared" si="12"/>
        <v>11</v>
      </c>
      <c r="P267" s="848" t="str">
        <f t="shared" si="11"/>
        <v/>
      </c>
    </row>
    <row r="268" spans="2:16" ht="27" hidden="1" customHeight="1">
      <c r="B268" s="1020"/>
      <c r="C268" s="2314"/>
      <c r="D268" s="2315"/>
      <c r="E268" s="2315"/>
      <c r="F268" s="2315"/>
      <c r="G268" s="2316"/>
      <c r="H268" s="684"/>
      <c r="I268" s="685"/>
      <c r="J268" s="1475"/>
      <c r="K268" s="686"/>
      <c r="L268" s="2329"/>
      <c r="M268" s="2328"/>
      <c r="N268" s="925" t="str">
        <f t="shared" si="10"/>
        <v/>
      </c>
      <c r="O268" s="922">
        <f t="shared" si="12"/>
        <v>11</v>
      </c>
      <c r="P268" s="848" t="str">
        <f t="shared" si="11"/>
        <v/>
      </c>
    </row>
    <row r="269" spans="2:16" ht="27" hidden="1" customHeight="1">
      <c r="B269" s="1020"/>
      <c r="C269" s="2314"/>
      <c r="D269" s="2315"/>
      <c r="E269" s="2315"/>
      <c r="F269" s="2315"/>
      <c r="G269" s="2316"/>
      <c r="H269" s="684"/>
      <c r="I269" s="685"/>
      <c r="J269" s="1475"/>
      <c r="K269" s="686"/>
      <c r="L269" s="2329"/>
      <c r="M269" s="2328"/>
      <c r="N269" s="925" t="str">
        <f t="shared" si="10"/>
        <v/>
      </c>
      <c r="O269" s="922">
        <f t="shared" si="12"/>
        <v>11</v>
      </c>
      <c r="P269" s="848" t="str">
        <f t="shared" si="11"/>
        <v/>
      </c>
    </row>
    <row r="270" spans="2:16" ht="27" hidden="1" customHeight="1">
      <c r="B270" s="1020"/>
      <c r="C270" s="2314"/>
      <c r="D270" s="2315"/>
      <c r="E270" s="2315"/>
      <c r="F270" s="2315"/>
      <c r="G270" s="2316"/>
      <c r="H270" s="684"/>
      <c r="I270" s="685"/>
      <c r="J270" s="1475"/>
      <c r="K270" s="686"/>
      <c r="L270" s="2329"/>
      <c r="M270" s="2328"/>
      <c r="N270" s="925" t="str">
        <f t="shared" si="10"/>
        <v/>
      </c>
      <c r="O270" s="922">
        <f t="shared" si="12"/>
        <v>11</v>
      </c>
      <c r="P270" s="848" t="str">
        <f t="shared" si="11"/>
        <v/>
      </c>
    </row>
    <row r="271" spans="2:16" ht="27" hidden="1" customHeight="1">
      <c r="B271" s="1020"/>
      <c r="C271" s="2314"/>
      <c r="D271" s="2315"/>
      <c r="E271" s="2315"/>
      <c r="F271" s="2315"/>
      <c r="G271" s="2316"/>
      <c r="H271" s="684"/>
      <c r="I271" s="685"/>
      <c r="J271" s="1475"/>
      <c r="K271" s="686"/>
      <c r="L271" s="2329"/>
      <c r="M271" s="2328"/>
      <c r="N271" s="925" t="str">
        <f t="shared" si="10"/>
        <v/>
      </c>
      <c r="O271" s="922">
        <f t="shared" si="12"/>
        <v>11</v>
      </c>
      <c r="P271" s="848" t="str">
        <f t="shared" si="11"/>
        <v/>
      </c>
    </row>
    <row r="272" spans="2:16" ht="27" hidden="1" customHeight="1">
      <c r="B272" s="1020"/>
      <c r="C272" s="2314"/>
      <c r="D272" s="2315"/>
      <c r="E272" s="2315"/>
      <c r="F272" s="2315"/>
      <c r="G272" s="2316"/>
      <c r="H272" s="684"/>
      <c r="I272" s="685"/>
      <c r="J272" s="1475"/>
      <c r="K272" s="686"/>
      <c r="L272" s="2329"/>
      <c r="M272" s="2328"/>
      <c r="N272" s="925" t="str">
        <f t="shared" si="10"/>
        <v/>
      </c>
      <c r="O272" s="922">
        <f t="shared" si="12"/>
        <v>11</v>
      </c>
      <c r="P272" s="848" t="str">
        <f t="shared" si="11"/>
        <v/>
      </c>
    </row>
    <row r="273" spans="2:16" ht="27" hidden="1" customHeight="1">
      <c r="B273" s="1020"/>
      <c r="C273" s="2314"/>
      <c r="D273" s="2315"/>
      <c r="E273" s="2315"/>
      <c r="F273" s="2315"/>
      <c r="G273" s="2316"/>
      <c r="H273" s="684"/>
      <c r="I273" s="685"/>
      <c r="J273" s="1475"/>
      <c r="K273" s="686"/>
      <c r="L273" s="2329"/>
      <c r="M273" s="2328"/>
      <c r="N273" s="925" t="str">
        <f t="shared" si="10"/>
        <v/>
      </c>
      <c r="O273" s="922">
        <f t="shared" si="12"/>
        <v>11</v>
      </c>
      <c r="P273" s="848" t="str">
        <f t="shared" si="11"/>
        <v/>
      </c>
    </row>
    <row r="274" spans="2:16" ht="27" hidden="1" customHeight="1">
      <c r="B274" s="1020"/>
      <c r="C274" s="2314"/>
      <c r="D274" s="2315"/>
      <c r="E274" s="2315"/>
      <c r="F274" s="2315"/>
      <c r="G274" s="2316"/>
      <c r="H274" s="684"/>
      <c r="I274" s="685"/>
      <c r="J274" s="1475"/>
      <c r="K274" s="686"/>
      <c r="L274" s="2329"/>
      <c r="M274" s="2328"/>
      <c r="N274" s="925" t="str">
        <f t="shared" si="10"/>
        <v/>
      </c>
      <c r="O274" s="922">
        <f t="shared" si="12"/>
        <v>11</v>
      </c>
      <c r="P274" s="848" t="str">
        <f t="shared" si="11"/>
        <v/>
      </c>
    </row>
    <row r="275" spans="2:16" ht="27" hidden="1" customHeight="1">
      <c r="B275" s="1020"/>
      <c r="C275" s="2314"/>
      <c r="D275" s="2315"/>
      <c r="E275" s="2315"/>
      <c r="F275" s="2315"/>
      <c r="G275" s="2316"/>
      <c r="H275" s="684"/>
      <c r="I275" s="685"/>
      <c r="J275" s="1475"/>
      <c r="K275" s="686"/>
      <c r="L275" s="2329"/>
      <c r="M275" s="2328"/>
      <c r="N275" s="925" t="str">
        <f t="shared" si="10"/>
        <v/>
      </c>
      <c r="O275" s="922">
        <f t="shared" si="12"/>
        <v>11</v>
      </c>
      <c r="P275" s="848" t="str">
        <f t="shared" si="11"/>
        <v/>
      </c>
    </row>
    <row r="276" spans="2:16" ht="27" hidden="1" customHeight="1">
      <c r="B276" s="1020"/>
      <c r="C276" s="2314"/>
      <c r="D276" s="2315"/>
      <c r="E276" s="2315"/>
      <c r="F276" s="2315"/>
      <c r="G276" s="2316"/>
      <c r="H276" s="684"/>
      <c r="I276" s="685"/>
      <c r="J276" s="1475"/>
      <c r="K276" s="686"/>
      <c r="L276" s="2329"/>
      <c r="M276" s="2328"/>
      <c r="N276" s="925" t="str">
        <f t="shared" si="10"/>
        <v/>
      </c>
      <c r="O276" s="922">
        <f t="shared" si="12"/>
        <v>11</v>
      </c>
      <c r="P276" s="848" t="str">
        <f t="shared" si="11"/>
        <v/>
      </c>
    </row>
    <row r="277" spans="2:16" ht="27" hidden="1" customHeight="1">
      <c r="B277" s="1020"/>
      <c r="C277" s="2314"/>
      <c r="D277" s="2315"/>
      <c r="E277" s="2315"/>
      <c r="F277" s="2315"/>
      <c r="G277" s="2316"/>
      <c r="H277" s="684"/>
      <c r="I277" s="685"/>
      <c r="J277" s="1475"/>
      <c r="K277" s="686"/>
      <c r="L277" s="2329"/>
      <c r="M277" s="2328"/>
      <c r="N277" s="925" t="str">
        <f t="shared" si="10"/>
        <v/>
      </c>
      <c r="O277" s="922">
        <f t="shared" si="12"/>
        <v>11</v>
      </c>
      <c r="P277" s="848" t="str">
        <f t="shared" si="11"/>
        <v/>
      </c>
    </row>
    <row r="278" spans="2:16" ht="27" hidden="1" customHeight="1">
      <c r="B278" s="1020"/>
      <c r="C278" s="2314"/>
      <c r="D278" s="2315"/>
      <c r="E278" s="2315"/>
      <c r="F278" s="2315"/>
      <c r="G278" s="2316"/>
      <c r="H278" s="684"/>
      <c r="I278" s="685"/>
      <c r="J278" s="1475"/>
      <c r="K278" s="686"/>
      <c r="L278" s="2329"/>
      <c r="M278" s="2328"/>
      <c r="N278" s="925" t="str">
        <f t="shared" si="10"/>
        <v/>
      </c>
      <c r="O278" s="922">
        <f t="shared" si="12"/>
        <v>11</v>
      </c>
      <c r="P278" s="848" t="str">
        <f t="shared" si="11"/>
        <v/>
      </c>
    </row>
    <row r="279" spans="2:16" ht="27" hidden="1" customHeight="1">
      <c r="B279" s="1020"/>
      <c r="C279" s="2314"/>
      <c r="D279" s="2315"/>
      <c r="E279" s="2315"/>
      <c r="F279" s="2315"/>
      <c r="G279" s="2316"/>
      <c r="H279" s="684"/>
      <c r="I279" s="685"/>
      <c r="J279" s="1475"/>
      <c r="K279" s="686"/>
      <c r="L279" s="2329"/>
      <c r="M279" s="2328"/>
      <c r="N279" s="925" t="str">
        <f t="shared" si="10"/>
        <v/>
      </c>
      <c r="O279" s="922">
        <f t="shared" si="12"/>
        <v>11</v>
      </c>
      <c r="P279" s="848" t="str">
        <f t="shared" si="11"/>
        <v/>
      </c>
    </row>
    <row r="280" spans="2:16" ht="27" hidden="1" customHeight="1">
      <c r="B280" s="1020"/>
      <c r="C280" s="2314"/>
      <c r="D280" s="2315"/>
      <c r="E280" s="2315"/>
      <c r="F280" s="2315"/>
      <c r="G280" s="2316"/>
      <c r="H280" s="684"/>
      <c r="I280" s="685"/>
      <c r="J280" s="1475"/>
      <c r="K280" s="686"/>
      <c r="L280" s="2329"/>
      <c r="M280" s="2328"/>
      <c r="N280" s="925" t="str">
        <f t="shared" si="10"/>
        <v/>
      </c>
      <c r="O280" s="922">
        <f t="shared" si="12"/>
        <v>11</v>
      </c>
      <c r="P280" s="848" t="str">
        <f t="shared" si="11"/>
        <v/>
      </c>
    </row>
    <row r="281" spans="2:16" ht="27" hidden="1" customHeight="1">
      <c r="B281" s="1020"/>
      <c r="C281" s="2314"/>
      <c r="D281" s="2315"/>
      <c r="E281" s="2315"/>
      <c r="F281" s="2315"/>
      <c r="G281" s="2316"/>
      <c r="H281" s="684"/>
      <c r="I281" s="685"/>
      <c r="J281" s="1475"/>
      <c r="K281" s="686"/>
      <c r="L281" s="2329"/>
      <c r="M281" s="2328"/>
      <c r="N281" s="925" t="str">
        <f t="shared" si="10"/>
        <v/>
      </c>
      <c r="O281" s="922">
        <f t="shared" si="12"/>
        <v>11</v>
      </c>
      <c r="P281" s="848" t="str">
        <f t="shared" si="11"/>
        <v/>
      </c>
    </row>
    <row r="282" spans="2:16" ht="27" hidden="1" customHeight="1">
      <c r="B282" s="1020"/>
      <c r="C282" s="2314"/>
      <c r="D282" s="2315"/>
      <c r="E282" s="2315"/>
      <c r="F282" s="2315"/>
      <c r="G282" s="2316"/>
      <c r="H282" s="684"/>
      <c r="I282" s="685"/>
      <c r="J282" s="1475"/>
      <c r="K282" s="686"/>
      <c r="L282" s="2329"/>
      <c r="M282" s="2328"/>
      <c r="N282" s="925" t="str">
        <f t="shared" si="10"/>
        <v/>
      </c>
      <c r="O282" s="922">
        <f t="shared" si="12"/>
        <v>11</v>
      </c>
      <c r="P282" s="848" t="str">
        <f t="shared" si="11"/>
        <v/>
      </c>
    </row>
    <row r="283" spans="2:16" ht="27" hidden="1" customHeight="1">
      <c r="B283" s="1020"/>
      <c r="C283" s="2314"/>
      <c r="D283" s="2315"/>
      <c r="E283" s="2315"/>
      <c r="F283" s="2315"/>
      <c r="G283" s="2316"/>
      <c r="H283" s="684"/>
      <c r="I283" s="685"/>
      <c r="J283" s="1475"/>
      <c r="K283" s="686"/>
      <c r="L283" s="2329"/>
      <c r="M283" s="2328"/>
      <c r="N283" s="925" t="str">
        <f t="shared" si="10"/>
        <v/>
      </c>
      <c r="O283" s="922">
        <f t="shared" si="12"/>
        <v>11</v>
      </c>
      <c r="P283" s="848" t="str">
        <f t="shared" si="11"/>
        <v/>
      </c>
    </row>
    <row r="284" spans="2:16" ht="27" hidden="1" customHeight="1">
      <c r="B284" s="1020"/>
      <c r="C284" s="2314"/>
      <c r="D284" s="2315"/>
      <c r="E284" s="2315"/>
      <c r="F284" s="2315"/>
      <c r="G284" s="2316"/>
      <c r="H284" s="684"/>
      <c r="I284" s="685"/>
      <c r="J284" s="1475"/>
      <c r="K284" s="686"/>
      <c r="L284" s="2329"/>
      <c r="M284" s="2328"/>
      <c r="N284" s="925" t="str">
        <f t="shared" si="10"/>
        <v/>
      </c>
      <c r="O284" s="922">
        <f t="shared" si="12"/>
        <v>11</v>
      </c>
      <c r="P284" s="848" t="str">
        <f t="shared" si="11"/>
        <v/>
      </c>
    </row>
    <row r="285" spans="2:16" ht="27" hidden="1" customHeight="1">
      <c r="B285" s="1020"/>
      <c r="C285" s="2314"/>
      <c r="D285" s="2315"/>
      <c r="E285" s="2315"/>
      <c r="F285" s="2315"/>
      <c r="G285" s="2316"/>
      <c r="H285" s="684"/>
      <c r="I285" s="685"/>
      <c r="J285" s="1475"/>
      <c r="K285" s="686"/>
      <c r="L285" s="2329"/>
      <c r="M285" s="2328"/>
      <c r="N285" s="925" t="str">
        <f t="shared" si="10"/>
        <v/>
      </c>
      <c r="O285" s="922">
        <f t="shared" si="12"/>
        <v>11</v>
      </c>
      <c r="P285" s="848" t="str">
        <f t="shared" si="11"/>
        <v/>
      </c>
    </row>
    <row r="286" spans="2:16" ht="27" hidden="1" customHeight="1">
      <c r="B286" s="1020"/>
      <c r="C286" s="2314"/>
      <c r="D286" s="2315"/>
      <c r="E286" s="2315"/>
      <c r="F286" s="2315"/>
      <c r="G286" s="2316"/>
      <c r="H286" s="684"/>
      <c r="I286" s="685"/>
      <c r="J286" s="1475"/>
      <c r="K286" s="686"/>
      <c r="L286" s="2329"/>
      <c r="M286" s="2328"/>
      <c r="N286" s="925" t="str">
        <f t="shared" si="10"/>
        <v/>
      </c>
      <c r="O286" s="922">
        <f t="shared" si="12"/>
        <v>11</v>
      </c>
      <c r="P286" s="848" t="str">
        <f t="shared" si="11"/>
        <v/>
      </c>
    </row>
    <row r="287" spans="2:16" ht="27" hidden="1" customHeight="1">
      <c r="B287" s="1020"/>
      <c r="C287" s="2314"/>
      <c r="D287" s="2315"/>
      <c r="E287" s="2315"/>
      <c r="F287" s="2315"/>
      <c r="G287" s="2316"/>
      <c r="H287" s="684"/>
      <c r="I287" s="685"/>
      <c r="J287" s="1475"/>
      <c r="K287" s="686"/>
      <c r="L287" s="2329"/>
      <c r="M287" s="2328"/>
      <c r="N287" s="925" t="str">
        <f t="shared" si="10"/>
        <v/>
      </c>
      <c r="O287" s="922">
        <f t="shared" si="12"/>
        <v>11</v>
      </c>
      <c r="P287" s="848" t="str">
        <f t="shared" si="11"/>
        <v/>
      </c>
    </row>
    <row r="288" spans="2:16" ht="27" hidden="1" customHeight="1">
      <c r="B288" s="1020"/>
      <c r="C288" s="2314"/>
      <c r="D288" s="2315"/>
      <c r="E288" s="2315"/>
      <c r="F288" s="2315"/>
      <c r="G288" s="2316"/>
      <c r="H288" s="684"/>
      <c r="I288" s="685"/>
      <c r="J288" s="1475"/>
      <c r="K288" s="686"/>
      <c r="L288" s="2329"/>
      <c r="M288" s="2328"/>
      <c r="N288" s="925" t="str">
        <f t="shared" si="10"/>
        <v/>
      </c>
      <c r="O288" s="922">
        <f t="shared" si="12"/>
        <v>11</v>
      </c>
      <c r="P288" s="848" t="str">
        <f t="shared" si="11"/>
        <v/>
      </c>
    </row>
    <row r="289" spans="2:16" ht="27" hidden="1" customHeight="1">
      <c r="B289" s="1020"/>
      <c r="C289" s="2314"/>
      <c r="D289" s="2315"/>
      <c r="E289" s="2315"/>
      <c r="F289" s="2315"/>
      <c r="G289" s="2316"/>
      <c r="H289" s="684"/>
      <c r="I289" s="685"/>
      <c r="J289" s="1475"/>
      <c r="K289" s="686"/>
      <c r="L289" s="2329"/>
      <c r="M289" s="2328"/>
      <c r="N289" s="925" t="str">
        <f t="shared" si="10"/>
        <v/>
      </c>
      <c r="O289" s="922">
        <f t="shared" si="12"/>
        <v>11</v>
      </c>
      <c r="P289" s="848" t="str">
        <f t="shared" si="11"/>
        <v/>
      </c>
    </row>
    <row r="290" spans="2:16" ht="27" hidden="1" customHeight="1">
      <c r="B290" s="1020"/>
      <c r="C290" s="2314"/>
      <c r="D290" s="2315"/>
      <c r="E290" s="2315"/>
      <c r="F290" s="2315"/>
      <c r="G290" s="2316"/>
      <c r="H290" s="684"/>
      <c r="I290" s="685"/>
      <c r="J290" s="1475"/>
      <c r="K290" s="686"/>
      <c r="L290" s="2329"/>
      <c r="M290" s="2328"/>
      <c r="N290" s="925" t="str">
        <f t="shared" si="10"/>
        <v/>
      </c>
      <c r="O290" s="922">
        <f t="shared" si="12"/>
        <v>11</v>
      </c>
      <c r="P290" s="848" t="str">
        <f t="shared" si="11"/>
        <v/>
      </c>
    </row>
    <row r="291" spans="2:16" ht="27" hidden="1" customHeight="1">
      <c r="B291" s="1020"/>
      <c r="C291" s="2314"/>
      <c r="D291" s="2315"/>
      <c r="E291" s="2315"/>
      <c r="F291" s="2315"/>
      <c r="G291" s="2316"/>
      <c r="H291" s="684"/>
      <c r="I291" s="685"/>
      <c r="J291" s="1475"/>
      <c r="K291" s="686"/>
      <c r="L291" s="2329"/>
      <c r="M291" s="2328"/>
      <c r="N291" s="925" t="str">
        <f t="shared" si="10"/>
        <v/>
      </c>
      <c r="O291" s="922">
        <f t="shared" si="12"/>
        <v>11</v>
      </c>
      <c r="P291" s="848" t="str">
        <f t="shared" si="11"/>
        <v/>
      </c>
    </row>
    <row r="292" spans="2:16" ht="27" hidden="1" customHeight="1">
      <c r="B292" s="1020"/>
      <c r="C292" s="2314"/>
      <c r="D292" s="2315"/>
      <c r="E292" s="2315"/>
      <c r="F292" s="2315"/>
      <c r="G292" s="2316"/>
      <c r="H292" s="684"/>
      <c r="I292" s="685"/>
      <c r="J292" s="1475"/>
      <c r="K292" s="686"/>
      <c r="L292" s="2329"/>
      <c r="M292" s="2328"/>
      <c r="N292" s="925" t="str">
        <f t="shared" si="10"/>
        <v/>
      </c>
      <c r="O292" s="922">
        <f t="shared" si="12"/>
        <v>11</v>
      </c>
      <c r="P292" s="848" t="str">
        <f t="shared" si="11"/>
        <v/>
      </c>
    </row>
    <row r="293" spans="2:16" ht="27" hidden="1" customHeight="1">
      <c r="B293" s="1020"/>
      <c r="C293" s="2314"/>
      <c r="D293" s="2315"/>
      <c r="E293" s="2315"/>
      <c r="F293" s="2315"/>
      <c r="G293" s="2316"/>
      <c r="H293" s="684"/>
      <c r="I293" s="685"/>
      <c r="J293" s="1475"/>
      <c r="K293" s="686"/>
      <c r="L293" s="2329"/>
      <c r="M293" s="2328"/>
      <c r="N293" s="925" t="str">
        <f t="shared" si="10"/>
        <v/>
      </c>
      <c r="O293" s="922">
        <f t="shared" si="12"/>
        <v>11</v>
      </c>
      <c r="P293" s="848" t="str">
        <f t="shared" si="11"/>
        <v/>
      </c>
    </row>
    <row r="294" spans="2:16" ht="27" hidden="1" customHeight="1">
      <c r="B294" s="1020"/>
      <c r="C294" s="2314"/>
      <c r="D294" s="2315"/>
      <c r="E294" s="2315"/>
      <c r="F294" s="2315"/>
      <c r="G294" s="2316"/>
      <c r="H294" s="684"/>
      <c r="I294" s="685"/>
      <c r="J294" s="1475"/>
      <c r="K294" s="686"/>
      <c r="L294" s="2329"/>
      <c r="M294" s="2328"/>
      <c r="N294" s="925" t="str">
        <f t="shared" si="10"/>
        <v/>
      </c>
      <c r="O294" s="922">
        <f t="shared" si="12"/>
        <v>11</v>
      </c>
      <c r="P294" s="848" t="str">
        <f t="shared" si="11"/>
        <v/>
      </c>
    </row>
    <row r="295" spans="2:16" ht="27" hidden="1" customHeight="1">
      <c r="B295" s="1020"/>
      <c r="C295" s="2314"/>
      <c r="D295" s="2315"/>
      <c r="E295" s="2315"/>
      <c r="F295" s="2315"/>
      <c r="G295" s="2316"/>
      <c r="H295" s="684"/>
      <c r="I295" s="685"/>
      <c r="J295" s="1475"/>
      <c r="K295" s="686"/>
      <c r="L295" s="2329"/>
      <c r="M295" s="2328"/>
      <c r="N295" s="925" t="str">
        <f t="shared" si="10"/>
        <v/>
      </c>
      <c r="O295" s="922">
        <f t="shared" si="12"/>
        <v>11</v>
      </c>
      <c r="P295" s="848" t="str">
        <f t="shared" si="11"/>
        <v/>
      </c>
    </row>
    <row r="296" spans="2:16" ht="27" hidden="1" customHeight="1">
      <c r="B296" s="1020"/>
      <c r="C296" s="2314"/>
      <c r="D296" s="2315"/>
      <c r="E296" s="2315"/>
      <c r="F296" s="2315"/>
      <c r="G296" s="2316"/>
      <c r="H296" s="684"/>
      <c r="I296" s="685"/>
      <c r="J296" s="1475"/>
      <c r="K296" s="686"/>
      <c r="L296" s="2329"/>
      <c r="M296" s="2328"/>
      <c r="N296" s="925" t="str">
        <f t="shared" si="10"/>
        <v/>
      </c>
      <c r="O296" s="922">
        <f t="shared" si="12"/>
        <v>11</v>
      </c>
      <c r="P296" s="848" t="str">
        <f t="shared" si="11"/>
        <v/>
      </c>
    </row>
    <row r="297" spans="2:16" ht="27" hidden="1" customHeight="1">
      <c r="B297" s="1020"/>
      <c r="C297" s="2314"/>
      <c r="D297" s="2315"/>
      <c r="E297" s="2315"/>
      <c r="F297" s="2315"/>
      <c r="G297" s="2316"/>
      <c r="H297" s="684"/>
      <c r="I297" s="685"/>
      <c r="J297" s="1475"/>
      <c r="K297" s="686"/>
      <c r="L297" s="2329"/>
      <c r="M297" s="2328"/>
      <c r="N297" s="925" t="str">
        <f t="shared" si="10"/>
        <v/>
      </c>
      <c r="O297" s="922">
        <f t="shared" si="12"/>
        <v>11</v>
      </c>
      <c r="P297" s="848" t="str">
        <f t="shared" si="11"/>
        <v/>
      </c>
    </row>
    <row r="298" spans="2:16" ht="27" hidden="1" customHeight="1">
      <c r="B298" s="1020"/>
      <c r="C298" s="2314"/>
      <c r="D298" s="2315"/>
      <c r="E298" s="2315"/>
      <c r="F298" s="2315"/>
      <c r="G298" s="2316"/>
      <c r="H298" s="684"/>
      <c r="I298" s="685"/>
      <c r="J298" s="1475"/>
      <c r="K298" s="686"/>
      <c r="L298" s="2329"/>
      <c r="M298" s="2328"/>
      <c r="N298" s="925" t="str">
        <f t="shared" si="10"/>
        <v/>
      </c>
      <c r="O298" s="922">
        <f t="shared" si="12"/>
        <v>11</v>
      </c>
      <c r="P298" s="848" t="str">
        <f t="shared" si="11"/>
        <v/>
      </c>
    </row>
    <row r="299" spans="2:16" ht="27" hidden="1" customHeight="1">
      <c r="B299" s="1020"/>
      <c r="C299" s="2314"/>
      <c r="D299" s="2315"/>
      <c r="E299" s="2315"/>
      <c r="F299" s="2315"/>
      <c r="G299" s="2316"/>
      <c r="H299" s="684"/>
      <c r="I299" s="685"/>
      <c r="J299" s="1475"/>
      <c r="K299" s="686"/>
      <c r="L299" s="2329"/>
      <c r="M299" s="2328"/>
      <c r="N299" s="925" t="str">
        <f t="shared" si="10"/>
        <v/>
      </c>
      <c r="O299" s="922">
        <f t="shared" si="12"/>
        <v>11</v>
      </c>
      <c r="P299" s="848" t="str">
        <f t="shared" si="11"/>
        <v/>
      </c>
    </row>
    <row r="300" spans="2:16" ht="27" hidden="1" customHeight="1">
      <c r="B300" s="1020"/>
      <c r="C300" s="2314"/>
      <c r="D300" s="2315"/>
      <c r="E300" s="2315"/>
      <c r="F300" s="2315"/>
      <c r="G300" s="2316"/>
      <c r="H300" s="684"/>
      <c r="I300" s="685"/>
      <c r="J300" s="1475"/>
      <c r="K300" s="686"/>
      <c r="L300" s="2329"/>
      <c r="M300" s="2328"/>
      <c r="N300" s="925" t="str">
        <f t="shared" si="10"/>
        <v/>
      </c>
      <c r="O300" s="922">
        <f t="shared" si="12"/>
        <v>11</v>
      </c>
      <c r="P300" s="848" t="str">
        <f t="shared" si="11"/>
        <v/>
      </c>
    </row>
    <row r="301" spans="2:16" ht="27" hidden="1" customHeight="1">
      <c r="B301" s="1020"/>
      <c r="C301" s="2314"/>
      <c r="D301" s="2315"/>
      <c r="E301" s="2315"/>
      <c r="F301" s="2315"/>
      <c r="G301" s="2316"/>
      <c r="H301" s="684"/>
      <c r="I301" s="685"/>
      <c r="J301" s="1475"/>
      <c r="K301" s="686"/>
      <c r="L301" s="2329"/>
      <c r="M301" s="2328"/>
      <c r="N301" s="925" t="str">
        <f t="shared" si="10"/>
        <v/>
      </c>
      <c r="O301" s="922">
        <f t="shared" si="12"/>
        <v>11</v>
      </c>
      <c r="P301" s="848" t="str">
        <f t="shared" si="11"/>
        <v/>
      </c>
    </row>
    <row r="302" spans="2:16" ht="27" hidden="1" customHeight="1">
      <c r="B302" s="1020"/>
      <c r="C302" s="2314"/>
      <c r="D302" s="2315"/>
      <c r="E302" s="2315"/>
      <c r="F302" s="2315"/>
      <c r="G302" s="2316"/>
      <c r="H302" s="684"/>
      <c r="I302" s="685"/>
      <c r="J302" s="1475"/>
      <c r="K302" s="686"/>
      <c r="L302" s="2329"/>
      <c r="M302" s="2328"/>
      <c r="N302" s="925" t="str">
        <f t="shared" si="10"/>
        <v/>
      </c>
      <c r="O302" s="922">
        <f t="shared" si="12"/>
        <v>11</v>
      </c>
      <c r="P302" s="848" t="str">
        <f t="shared" si="11"/>
        <v/>
      </c>
    </row>
    <row r="303" spans="2:16" ht="27" hidden="1" customHeight="1">
      <c r="B303" s="1020"/>
      <c r="C303" s="2314"/>
      <c r="D303" s="2315"/>
      <c r="E303" s="2315"/>
      <c r="F303" s="2315"/>
      <c r="G303" s="2316"/>
      <c r="H303" s="684"/>
      <c r="I303" s="685"/>
      <c r="J303" s="1475"/>
      <c r="K303" s="686"/>
      <c r="L303" s="2329"/>
      <c r="M303" s="2328"/>
      <c r="N303" s="925" t="str">
        <f t="shared" si="10"/>
        <v/>
      </c>
      <c r="O303" s="922">
        <f t="shared" si="12"/>
        <v>11</v>
      </c>
      <c r="P303" s="848" t="str">
        <f t="shared" si="11"/>
        <v/>
      </c>
    </row>
    <row r="304" spans="2:16" ht="27" hidden="1" customHeight="1">
      <c r="B304" s="1020"/>
      <c r="C304" s="2314"/>
      <c r="D304" s="2315"/>
      <c r="E304" s="2315"/>
      <c r="F304" s="2315"/>
      <c r="G304" s="2316"/>
      <c r="H304" s="684"/>
      <c r="I304" s="685"/>
      <c r="J304" s="1475"/>
      <c r="K304" s="686"/>
      <c r="L304" s="2329"/>
      <c r="M304" s="2328"/>
      <c r="N304" s="925" t="str">
        <f t="shared" si="10"/>
        <v/>
      </c>
      <c r="O304" s="922">
        <f t="shared" si="12"/>
        <v>11</v>
      </c>
      <c r="P304" s="848" t="str">
        <f t="shared" si="11"/>
        <v/>
      </c>
    </row>
    <row r="305" spans="2:16" ht="27" hidden="1" customHeight="1">
      <c r="B305" s="1020"/>
      <c r="C305" s="2314"/>
      <c r="D305" s="2315"/>
      <c r="E305" s="2315"/>
      <c r="F305" s="2315"/>
      <c r="G305" s="2316"/>
      <c r="H305" s="684"/>
      <c r="I305" s="685"/>
      <c r="J305" s="1475"/>
      <c r="K305" s="686"/>
      <c r="L305" s="2329"/>
      <c r="M305" s="2328"/>
      <c r="N305" s="925" t="str">
        <f t="shared" si="10"/>
        <v/>
      </c>
      <c r="O305" s="922">
        <f t="shared" si="12"/>
        <v>11</v>
      </c>
      <c r="P305" s="848" t="str">
        <f t="shared" si="11"/>
        <v/>
      </c>
    </row>
    <row r="306" spans="2:16" ht="27" hidden="1" customHeight="1">
      <c r="B306" s="1020"/>
      <c r="C306" s="2314"/>
      <c r="D306" s="2315"/>
      <c r="E306" s="2315"/>
      <c r="F306" s="2315"/>
      <c r="G306" s="2316"/>
      <c r="H306" s="684"/>
      <c r="I306" s="685"/>
      <c r="J306" s="1475"/>
      <c r="K306" s="686"/>
      <c r="L306" s="2329"/>
      <c r="M306" s="2328"/>
      <c r="N306" s="925" t="str">
        <f t="shared" ref="N306:N340" si="13">IF(P306="E","「工事価格」より金額が大きくなっています。千円単位の入力になっているか確認してください。","")</f>
        <v/>
      </c>
      <c r="O306" s="922">
        <f t="shared" si="12"/>
        <v>11</v>
      </c>
      <c r="P306" s="848" t="str">
        <f t="shared" ref="P306:P340" si="14">IF($K306&gt;$J$57,"E","")</f>
        <v/>
      </c>
    </row>
    <row r="307" spans="2:16" ht="27" hidden="1" customHeight="1">
      <c r="B307" s="1020"/>
      <c r="C307" s="2314"/>
      <c r="D307" s="2315"/>
      <c r="E307" s="2315"/>
      <c r="F307" s="2315"/>
      <c r="G307" s="2316"/>
      <c r="H307" s="684"/>
      <c r="I307" s="685"/>
      <c r="J307" s="1475"/>
      <c r="K307" s="686"/>
      <c r="L307" s="2329"/>
      <c r="M307" s="2328"/>
      <c r="N307" s="925" t="str">
        <f t="shared" si="13"/>
        <v/>
      </c>
      <c r="O307" s="922">
        <f t="shared" ref="O307:O340" si="15">COUNTBLANK($C307:$M307)</f>
        <v>11</v>
      </c>
      <c r="P307" s="848" t="str">
        <f t="shared" si="14"/>
        <v/>
      </c>
    </row>
    <row r="308" spans="2:16" ht="27" hidden="1" customHeight="1">
      <c r="B308" s="1020"/>
      <c r="C308" s="2314"/>
      <c r="D308" s="2315"/>
      <c r="E308" s="2315"/>
      <c r="F308" s="2315"/>
      <c r="G308" s="2316"/>
      <c r="H308" s="684"/>
      <c r="I308" s="685"/>
      <c r="J308" s="1475"/>
      <c r="K308" s="686"/>
      <c r="L308" s="2329"/>
      <c r="M308" s="2328"/>
      <c r="N308" s="925" t="str">
        <f t="shared" si="13"/>
        <v/>
      </c>
      <c r="O308" s="922">
        <f t="shared" si="15"/>
        <v>11</v>
      </c>
      <c r="P308" s="848" t="str">
        <f t="shared" si="14"/>
        <v/>
      </c>
    </row>
    <row r="309" spans="2:16" ht="27" hidden="1" customHeight="1">
      <c r="B309" s="1020"/>
      <c r="C309" s="2314"/>
      <c r="D309" s="2315"/>
      <c r="E309" s="2315"/>
      <c r="F309" s="2315"/>
      <c r="G309" s="2316"/>
      <c r="H309" s="684"/>
      <c r="I309" s="685"/>
      <c r="J309" s="1475"/>
      <c r="K309" s="686"/>
      <c r="L309" s="2329"/>
      <c r="M309" s="2328"/>
      <c r="N309" s="925" t="str">
        <f t="shared" si="13"/>
        <v/>
      </c>
      <c r="O309" s="922">
        <f t="shared" si="15"/>
        <v>11</v>
      </c>
      <c r="P309" s="848" t="str">
        <f t="shared" si="14"/>
        <v/>
      </c>
    </row>
    <row r="310" spans="2:16" ht="27" hidden="1" customHeight="1">
      <c r="B310" s="1020"/>
      <c r="C310" s="2314"/>
      <c r="D310" s="2315"/>
      <c r="E310" s="2315"/>
      <c r="F310" s="2315"/>
      <c r="G310" s="2316"/>
      <c r="H310" s="684"/>
      <c r="I310" s="685"/>
      <c r="J310" s="1475"/>
      <c r="K310" s="686"/>
      <c r="L310" s="2329"/>
      <c r="M310" s="2328"/>
      <c r="N310" s="925" t="str">
        <f t="shared" si="13"/>
        <v/>
      </c>
      <c r="O310" s="922">
        <f t="shared" si="15"/>
        <v>11</v>
      </c>
      <c r="P310" s="848" t="str">
        <f t="shared" si="14"/>
        <v/>
      </c>
    </row>
    <row r="311" spans="2:16" ht="27" hidden="1" customHeight="1">
      <c r="B311" s="1020"/>
      <c r="C311" s="2314"/>
      <c r="D311" s="2315"/>
      <c r="E311" s="2315"/>
      <c r="F311" s="2315"/>
      <c r="G311" s="2316"/>
      <c r="H311" s="684"/>
      <c r="I311" s="685"/>
      <c r="J311" s="1475"/>
      <c r="K311" s="686"/>
      <c r="L311" s="2329"/>
      <c r="M311" s="2328"/>
      <c r="N311" s="925" t="str">
        <f t="shared" si="13"/>
        <v/>
      </c>
      <c r="O311" s="922">
        <f t="shared" si="15"/>
        <v>11</v>
      </c>
      <c r="P311" s="848" t="str">
        <f t="shared" si="14"/>
        <v/>
      </c>
    </row>
    <row r="312" spans="2:16" ht="27" hidden="1" customHeight="1">
      <c r="B312" s="1020"/>
      <c r="C312" s="2314"/>
      <c r="D312" s="2315"/>
      <c r="E312" s="2315"/>
      <c r="F312" s="2315"/>
      <c r="G312" s="2316"/>
      <c r="H312" s="684"/>
      <c r="I312" s="685"/>
      <c r="J312" s="1475"/>
      <c r="K312" s="686"/>
      <c r="L312" s="2329"/>
      <c r="M312" s="2328"/>
      <c r="N312" s="925" t="str">
        <f t="shared" si="13"/>
        <v/>
      </c>
      <c r="O312" s="922">
        <f t="shared" si="15"/>
        <v>11</v>
      </c>
      <c r="P312" s="848" t="str">
        <f t="shared" si="14"/>
        <v/>
      </c>
    </row>
    <row r="313" spans="2:16" ht="27" hidden="1" customHeight="1">
      <c r="B313" s="1020"/>
      <c r="C313" s="2314"/>
      <c r="D313" s="2315"/>
      <c r="E313" s="2315"/>
      <c r="F313" s="2315"/>
      <c r="G313" s="2316"/>
      <c r="H313" s="684"/>
      <c r="I313" s="685"/>
      <c r="J313" s="1475"/>
      <c r="K313" s="686"/>
      <c r="L313" s="2329"/>
      <c r="M313" s="2328"/>
      <c r="N313" s="925" t="str">
        <f t="shared" si="13"/>
        <v/>
      </c>
      <c r="O313" s="922">
        <f t="shared" si="15"/>
        <v>11</v>
      </c>
      <c r="P313" s="848" t="str">
        <f t="shared" si="14"/>
        <v/>
      </c>
    </row>
    <row r="314" spans="2:16" ht="27" hidden="1" customHeight="1">
      <c r="B314" s="1020"/>
      <c r="C314" s="2314"/>
      <c r="D314" s="2315"/>
      <c r="E314" s="2315"/>
      <c r="F314" s="2315"/>
      <c r="G314" s="2316"/>
      <c r="H314" s="684"/>
      <c r="I314" s="685"/>
      <c r="J314" s="1475"/>
      <c r="K314" s="686"/>
      <c r="L314" s="2329"/>
      <c r="M314" s="2328"/>
      <c r="N314" s="925" t="str">
        <f t="shared" si="13"/>
        <v/>
      </c>
      <c r="O314" s="922">
        <f t="shared" si="15"/>
        <v>11</v>
      </c>
      <c r="P314" s="848" t="str">
        <f t="shared" si="14"/>
        <v/>
      </c>
    </row>
    <row r="315" spans="2:16" ht="27" hidden="1" customHeight="1">
      <c r="B315" s="1020"/>
      <c r="C315" s="2314"/>
      <c r="D315" s="2315"/>
      <c r="E315" s="2315"/>
      <c r="F315" s="2315"/>
      <c r="G315" s="2316"/>
      <c r="H315" s="684"/>
      <c r="I315" s="685"/>
      <c r="J315" s="1475"/>
      <c r="K315" s="686"/>
      <c r="L315" s="2329"/>
      <c r="M315" s="2328"/>
      <c r="N315" s="925" t="str">
        <f t="shared" si="13"/>
        <v/>
      </c>
      <c r="O315" s="922">
        <f t="shared" si="15"/>
        <v>11</v>
      </c>
      <c r="P315" s="848" t="str">
        <f t="shared" si="14"/>
        <v/>
      </c>
    </row>
    <row r="316" spans="2:16" ht="27" hidden="1" customHeight="1">
      <c r="B316" s="1020"/>
      <c r="C316" s="2314"/>
      <c r="D316" s="2315"/>
      <c r="E316" s="2315"/>
      <c r="F316" s="2315"/>
      <c r="G316" s="2316"/>
      <c r="H316" s="684"/>
      <c r="I316" s="685"/>
      <c r="J316" s="1475"/>
      <c r="K316" s="686"/>
      <c r="L316" s="2329"/>
      <c r="M316" s="2328"/>
      <c r="N316" s="925" t="str">
        <f t="shared" si="13"/>
        <v/>
      </c>
      <c r="O316" s="922">
        <f t="shared" si="15"/>
        <v>11</v>
      </c>
      <c r="P316" s="848" t="str">
        <f t="shared" si="14"/>
        <v/>
      </c>
    </row>
    <row r="317" spans="2:16" ht="27" hidden="1" customHeight="1">
      <c r="B317" s="1020"/>
      <c r="C317" s="2314"/>
      <c r="D317" s="2315"/>
      <c r="E317" s="2315"/>
      <c r="F317" s="2315"/>
      <c r="G317" s="2316"/>
      <c r="H317" s="684"/>
      <c r="I317" s="685"/>
      <c r="J317" s="1475"/>
      <c r="K317" s="686"/>
      <c r="L317" s="2329"/>
      <c r="M317" s="2328"/>
      <c r="N317" s="925" t="str">
        <f t="shared" si="13"/>
        <v/>
      </c>
      <c r="O317" s="922">
        <f t="shared" si="15"/>
        <v>11</v>
      </c>
      <c r="P317" s="848" t="str">
        <f t="shared" si="14"/>
        <v/>
      </c>
    </row>
    <row r="318" spans="2:16" ht="27" hidden="1" customHeight="1">
      <c r="B318" s="1020"/>
      <c r="C318" s="2314"/>
      <c r="D318" s="2315"/>
      <c r="E318" s="2315"/>
      <c r="F318" s="2315"/>
      <c r="G318" s="2316"/>
      <c r="H318" s="684"/>
      <c r="I318" s="685"/>
      <c r="J318" s="1475"/>
      <c r="K318" s="686"/>
      <c r="L318" s="2329"/>
      <c r="M318" s="2328"/>
      <c r="N318" s="925" t="str">
        <f t="shared" si="13"/>
        <v/>
      </c>
      <c r="O318" s="922">
        <f t="shared" si="15"/>
        <v>11</v>
      </c>
      <c r="P318" s="848" t="str">
        <f t="shared" si="14"/>
        <v/>
      </c>
    </row>
    <row r="319" spans="2:16" ht="27" hidden="1" customHeight="1">
      <c r="B319" s="1020"/>
      <c r="C319" s="2314"/>
      <c r="D319" s="2315"/>
      <c r="E319" s="2315"/>
      <c r="F319" s="2315"/>
      <c r="G319" s="2316"/>
      <c r="H319" s="684"/>
      <c r="I319" s="685"/>
      <c r="J319" s="1475"/>
      <c r="K319" s="686"/>
      <c r="L319" s="2329"/>
      <c r="M319" s="2328"/>
      <c r="N319" s="925" t="str">
        <f t="shared" si="13"/>
        <v/>
      </c>
      <c r="O319" s="922">
        <f t="shared" si="15"/>
        <v>11</v>
      </c>
      <c r="P319" s="848" t="str">
        <f t="shared" si="14"/>
        <v/>
      </c>
    </row>
    <row r="320" spans="2:16" ht="27" hidden="1" customHeight="1">
      <c r="B320" s="1020"/>
      <c r="C320" s="2314"/>
      <c r="D320" s="2315"/>
      <c r="E320" s="2315"/>
      <c r="F320" s="2315"/>
      <c r="G320" s="2316"/>
      <c r="H320" s="684"/>
      <c r="I320" s="685"/>
      <c r="J320" s="1475"/>
      <c r="K320" s="686"/>
      <c r="L320" s="2329"/>
      <c r="M320" s="2328"/>
      <c r="N320" s="925" t="str">
        <f t="shared" si="13"/>
        <v/>
      </c>
      <c r="O320" s="922">
        <f t="shared" si="15"/>
        <v>11</v>
      </c>
      <c r="P320" s="848" t="str">
        <f t="shared" si="14"/>
        <v/>
      </c>
    </row>
    <row r="321" spans="2:26" ht="27" hidden="1" customHeight="1">
      <c r="B321" s="1020"/>
      <c r="C321" s="2314"/>
      <c r="D321" s="2315"/>
      <c r="E321" s="2315"/>
      <c r="F321" s="2315"/>
      <c r="G321" s="2316"/>
      <c r="H321" s="684"/>
      <c r="I321" s="685"/>
      <c r="J321" s="1475"/>
      <c r="K321" s="686"/>
      <c r="L321" s="2329"/>
      <c r="M321" s="2328"/>
      <c r="N321" s="925" t="str">
        <f t="shared" si="13"/>
        <v/>
      </c>
      <c r="O321" s="922">
        <f t="shared" si="15"/>
        <v>11</v>
      </c>
      <c r="P321" s="848" t="str">
        <f t="shared" si="14"/>
        <v/>
      </c>
    </row>
    <row r="322" spans="2:26" ht="27" hidden="1" customHeight="1">
      <c r="B322" s="1020"/>
      <c r="C322" s="2314"/>
      <c r="D322" s="2315"/>
      <c r="E322" s="2315"/>
      <c r="F322" s="2315"/>
      <c r="G322" s="2316"/>
      <c r="H322" s="684"/>
      <c r="I322" s="685"/>
      <c r="J322" s="1475"/>
      <c r="K322" s="686"/>
      <c r="L322" s="2329"/>
      <c r="M322" s="2328"/>
      <c r="N322" s="925" t="str">
        <f t="shared" si="13"/>
        <v/>
      </c>
      <c r="O322" s="922">
        <f t="shared" si="15"/>
        <v>11</v>
      </c>
      <c r="P322" s="848" t="str">
        <f t="shared" si="14"/>
        <v/>
      </c>
    </row>
    <row r="323" spans="2:26" ht="27" hidden="1" customHeight="1">
      <c r="B323" s="1020"/>
      <c r="C323" s="2314"/>
      <c r="D323" s="2315"/>
      <c r="E323" s="2315"/>
      <c r="F323" s="2315"/>
      <c r="G323" s="2316"/>
      <c r="H323" s="684"/>
      <c r="I323" s="685"/>
      <c r="J323" s="1475"/>
      <c r="K323" s="686"/>
      <c r="L323" s="2329"/>
      <c r="M323" s="2328"/>
      <c r="N323" s="925" t="str">
        <f t="shared" si="13"/>
        <v/>
      </c>
      <c r="O323" s="922">
        <f t="shared" si="15"/>
        <v>11</v>
      </c>
      <c r="P323" s="848" t="str">
        <f t="shared" si="14"/>
        <v/>
      </c>
    </row>
    <row r="324" spans="2:26" ht="27" hidden="1" customHeight="1">
      <c r="B324" s="1020"/>
      <c r="C324" s="2314"/>
      <c r="D324" s="2315"/>
      <c r="E324" s="2315"/>
      <c r="F324" s="2315"/>
      <c r="G324" s="2316"/>
      <c r="H324" s="684"/>
      <c r="I324" s="685"/>
      <c r="J324" s="1475"/>
      <c r="K324" s="686"/>
      <c r="L324" s="2329"/>
      <c r="M324" s="2328"/>
      <c r="N324" s="925" t="str">
        <f t="shared" si="13"/>
        <v/>
      </c>
      <c r="O324" s="922">
        <f t="shared" si="15"/>
        <v>11</v>
      </c>
      <c r="P324" s="848" t="str">
        <f t="shared" si="14"/>
        <v/>
      </c>
    </row>
    <row r="325" spans="2:26" ht="27" hidden="1" customHeight="1">
      <c r="B325" s="1020"/>
      <c r="C325" s="2314"/>
      <c r="D325" s="2315"/>
      <c r="E325" s="2315"/>
      <c r="F325" s="2315"/>
      <c r="G325" s="2316"/>
      <c r="H325" s="684"/>
      <c r="I325" s="685"/>
      <c r="J325" s="1475"/>
      <c r="K325" s="686"/>
      <c r="L325" s="2329"/>
      <c r="M325" s="2328"/>
      <c r="N325" s="925" t="str">
        <f t="shared" si="13"/>
        <v/>
      </c>
      <c r="O325" s="922">
        <f t="shared" si="15"/>
        <v>11</v>
      </c>
      <c r="P325" s="848" t="str">
        <f t="shared" si="14"/>
        <v/>
      </c>
    </row>
    <row r="326" spans="2:26" ht="27" hidden="1" customHeight="1">
      <c r="B326" s="1020"/>
      <c r="C326" s="2314"/>
      <c r="D326" s="2315"/>
      <c r="E326" s="2315"/>
      <c r="F326" s="2315"/>
      <c r="G326" s="2316"/>
      <c r="H326" s="684"/>
      <c r="I326" s="685"/>
      <c r="J326" s="1475"/>
      <c r="K326" s="686"/>
      <c r="L326" s="2329"/>
      <c r="M326" s="2328"/>
      <c r="N326" s="925" t="str">
        <f t="shared" si="13"/>
        <v/>
      </c>
      <c r="O326" s="922">
        <f t="shared" si="15"/>
        <v>11</v>
      </c>
      <c r="P326" s="848" t="str">
        <f t="shared" si="14"/>
        <v/>
      </c>
    </row>
    <row r="327" spans="2:26" ht="27" hidden="1" customHeight="1">
      <c r="B327" s="1020"/>
      <c r="C327" s="2314"/>
      <c r="D327" s="2315"/>
      <c r="E327" s="2315"/>
      <c r="F327" s="2315"/>
      <c r="G327" s="2316"/>
      <c r="H327" s="684"/>
      <c r="I327" s="685"/>
      <c r="J327" s="1475"/>
      <c r="K327" s="686"/>
      <c r="L327" s="2329"/>
      <c r="M327" s="2328"/>
      <c r="N327" s="925" t="str">
        <f t="shared" si="13"/>
        <v/>
      </c>
      <c r="O327" s="922">
        <f t="shared" si="15"/>
        <v>11</v>
      </c>
      <c r="P327" s="848" t="str">
        <f t="shared" si="14"/>
        <v/>
      </c>
    </row>
    <row r="328" spans="2:26" ht="27" hidden="1" customHeight="1">
      <c r="B328" s="1020"/>
      <c r="C328" s="2314"/>
      <c r="D328" s="2315"/>
      <c r="E328" s="2315"/>
      <c r="F328" s="2315"/>
      <c r="G328" s="2316"/>
      <c r="H328" s="684"/>
      <c r="I328" s="685"/>
      <c r="J328" s="1475"/>
      <c r="K328" s="686"/>
      <c r="L328" s="2329"/>
      <c r="M328" s="2328"/>
      <c r="N328" s="925" t="str">
        <f t="shared" si="13"/>
        <v/>
      </c>
      <c r="O328" s="922">
        <f t="shared" si="15"/>
        <v>11</v>
      </c>
      <c r="P328" s="848" t="str">
        <f t="shared" si="14"/>
        <v/>
      </c>
    </row>
    <row r="329" spans="2:26" ht="27" hidden="1" customHeight="1">
      <c r="B329" s="1020"/>
      <c r="C329" s="2314"/>
      <c r="D329" s="2315"/>
      <c r="E329" s="2315"/>
      <c r="F329" s="2315"/>
      <c r="G329" s="2316"/>
      <c r="H329" s="684"/>
      <c r="I329" s="685"/>
      <c r="J329" s="1475"/>
      <c r="K329" s="686"/>
      <c r="L329" s="2329"/>
      <c r="M329" s="2328"/>
      <c r="N329" s="925" t="str">
        <f t="shared" si="13"/>
        <v/>
      </c>
      <c r="O329" s="922">
        <f t="shared" si="15"/>
        <v>11</v>
      </c>
      <c r="P329" s="848" t="str">
        <f t="shared" si="14"/>
        <v/>
      </c>
    </row>
    <row r="330" spans="2:26" ht="27" hidden="1" customHeight="1">
      <c r="B330" s="1020"/>
      <c r="C330" s="2314"/>
      <c r="D330" s="2315"/>
      <c r="E330" s="2315"/>
      <c r="F330" s="2315"/>
      <c r="G330" s="2316"/>
      <c r="H330" s="684"/>
      <c r="I330" s="685"/>
      <c r="J330" s="1475"/>
      <c r="K330" s="686"/>
      <c r="L330" s="2329"/>
      <c r="M330" s="2328"/>
      <c r="N330" s="925" t="str">
        <f t="shared" si="13"/>
        <v/>
      </c>
      <c r="O330" s="922">
        <f t="shared" si="15"/>
        <v>11</v>
      </c>
      <c r="P330" s="848" t="str">
        <f t="shared" si="14"/>
        <v/>
      </c>
    </row>
    <row r="331" spans="2:26" ht="27" hidden="1" customHeight="1">
      <c r="B331" s="1020"/>
      <c r="C331" s="2314"/>
      <c r="D331" s="2315"/>
      <c r="E331" s="2315"/>
      <c r="F331" s="2315"/>
      <c r="G331" s="2316"/>
      <c r="H331" s="684"/>
      <c r="I331" s="685"/>
      <c r="J331" s="1475"/>
      <c r="K331" s="686"/>
      <c r="L331" s="2329"/>
      <c r="M331" s="2328"/>
      <c r="N331" s="925" t="str">
        <f t="shared" si="13"/>
        <v/>
      </c>
      <c r="O331" s="922">
        <f t="shared" si="15"/>
        <v>11</v>
      </c>
      <c r="P331" s="848" t="str">
        <f t="shared" si="14"/>
        <v/>
      </c>
    </row>
    <row r="332" spans="2:26" ht="27" hidden="1" customHeight="1">
      <c r="B332" s="1020"/>
      <c r="C332" s="2314"/>
      <c r="D332" s="2315"/>
      <c r="E332" s="2315"/>
      <c r="F332" s="2315"/>
      <c r="G332" s="2316"/>
      <c r="H332" s="684"/>
      <c r="I332" s="685"/>
      <c r="J332" s="1475"/>
      <c r="K332" s="686"/>
      <c r="L332" s="2329"/>
      <c r="M332" s="2328"/>
      <c r="N332" s="925" t="str">
        <f t="shared" si="13"/>
        <v/>
      </c>
      <c r="O332" s="922">
        <f t="shared" si="15"/>
        <v>11</v>
      </c>
      <c r="P332" s="848" t="str">
        <f t="shared" si="14"/>
        <v/>
      </c>
    </row>
    <row r="333" spans="2:26" ht="27" hidden="1" customHeight="1">
      <c r="B333" s="1020"/>
      <c r="C333" s="2314"/>
      <c r="D333" s="2315"/>
      <c r="E333" s="2315"/>
      <c r="F333" s="2315"/>
      <c r="G333" s="2316"/>
      <c r="H333" s="684"/>
      <c r="I333" s="685"/>
      <c r="J333" s="1475"/>
      <c r="K333" s="686"/>
      <c r="L333" s="2329"/>
      <c r="M333" s="2328"/>
      <c r="N333" s="925" t="str">
        <f t="shared" si="13"/>
        <v/>
      </c>
      <c r="O333" s="922">
        <f t="shared" si="15"/>
        <v>11</v>
      </c>
      <c r="P333" s="848" t="str">
        <f t="shared" si="14"/>
        <v/>
      </c>
    </row>
    <row r="334" spans="2:26" ht="27" hidden="1" customHeight="1">
      <c r="B334" s="1020"/>
      <c r="C334" s="2314"/>
      <c r="D334" s="2315"/>
      <c r="E334" s="2315"/>
      <c r="F334" s="2315"/>
      <c r="G334" s="2316"/>
      <c r="H334" s="684"/>
      <c r="I334" s="685"/>
      <c r="J334" s="1475"/>
      <c r="K334" s="686"/>
      <c r="L334" s="2329"/>
      <c r="M334" s="2328"/>
      <c r="N334" s="925" t="str">
        <f t="shared" si="13"/>
        <v/>
      </c>
      <c r="O334" s="922">
        <f t="shared" si="15"/>
        <v>11</v>
      </c>
      <c r="P334" s="848" t="str">
        <f t="shared" si="14"/>
        <v/>
      </c>
      <c r="V334" s="217"/>
      <c r="W334" s="217"/>
      <c r="X334" s="217"/>
      <c r="Y334" s="217"/>
      <c r="Z334" s="217"/>
    </row>
    <row r="335" spans="2:26" ht="27" hidden="1" customHeight="1">
      <c r="B335" s="1020"/>
      <c r="C335" s="2314"/>
      <c r="D335" s="2315"/>
      <c r="E335" s="2315"/>
      <c r="F335" s="2315"/>
      <c r="G335" s="2316"/>
      <c r="H335" s="684"/>
      <c r="I335" s="685"/>
      <c r="J335" s="1475"/>
      <c r="K335" s="686"/>
      <c r="L335" s="2329"/>
      <c r="M335" s="2328"/>
      <c r="N335" s="925" t="str">
        <f t="shared" si="13"/>
        <v/>
      </c>
      <c r="O335" s="922">
        <f t="shared" si="15"/>
        <v>11</v>
      </c>
      <c r="P335" s="848" t="str">
        <f t="shared" si="14"/>
        <v/>
      </c>
      <c r="V335" s="217"/>
      <c r="W335" s="217"/>
      <c r="X335" s="217"/>
      <c r="Y335" s="217"/>
      <c r="Z335" s="217"/>
    </row>
    <row r="336" spans="2:26" ht="27" hidden="1" customHeight="1">
      <c r="B336" s="1020"/>
      <c r="C336" s="2314"/>
      <c r="D336" s="2315"/>
      <c r="E336" s="2315"/>
      <c r="F336" s="2315"/>
      <c r="G336" s="2316"/>
      <c r="H336" s="684"/>
      <c r="I336" s="685"/>
      <c r="J336" s="1475"/>
      <c r="K336" s="686"/>
      <c r="L336" s="2329"/>
      <c r="M336" s="2328"/>
      <c r="N336" s="925" t="str">
        <f t="shared" si="13"/>
        <v/>
      </c>
      <c r="O336" s="922">
        <f t="shared" si="15"/>
        <v>11</v>
      </c>
      <c r="P336" s="848" t="str">
        <f t="shared" si="14"/>
        <v/>
      </c>
      <c r="V336" s="217"/>
      <c r="W336" s="217"/>
      <c r="X336" s="217"/>
      <c r="Y336" s="217"/>
      <c r="Z336" s="217"/>
    </row>
    <row r="337" spans="2:33" ht="27" hidden="1" customHeight="1">
      <c r="B337" s="1020"/>
      <c r="C337" s="2314"/>
      <c r="D337" s="2315"/>
      <c r="E337" s="2315"/>
      <c r="F337" s="2315"/>
      <c r="G337" s="2316"/>
      <c r="H337" s="684"/>
      <c r="I337" s="685"/>
      <c r="J337" s="1475"/>
      <c r="K337" s="686"/>
      <c r="L337" s="2329"/>
      <c r="M337" s="2328"/>
      <c r="N337" s="925" t="str">
        <f t="shared" si="13"/>
        <v/>
      </c>
      <c r="O337" s="922">
        <f t="shared" si="15"/>
        <v>11</v>
      </c>
      <c r="P337" s="848" t="str">
        <f t="shared" si="14"/>
        <v/>
      </c>
      <c r="V337" s="217"/>
      <c r="W337" s="217"/>
      <c r="X337" s="217"/>
      <c r="Y337" s="217"/>
      <c r="Z337" s="217"/>
    </row>
    <row r="338" spans="2:33" ht="27" hidden="1" customHeight="1">
      <c r="B338" s="1020"/>
      <c r="C338" s="2314"/>
      <c r="D338" s="2315"/>
      <c r="E338" s="2315"/>
      <c r="F338" s="2315"/>
      <c r="G338" s="2316"/>
      <c r="H338" s="684"/>
      <c r="I338" s="685"/>
      <c r="J338" s="1475"/>
      <c r="K338" s="686"/>
      <c r="L338" s="2329"/>
      <c r="M338" s="2328"/>
      <c r="N338" s="925" t="str">
        <f t="shared" si="13"/>
        <v/>
      </c>
      <c r="O338" s="922">
        <f t="shared" si="15"/>
        <v>11</v>
      </c>
      <c r="P338" s="848" t="str">
        <f t="shared" si="14"/>
        <v/>
      </c>
    </row>
    <row r="339" spans="2:33" ht="27" hidden="1" customHeight="1">
      <c r="B339" s="1020"/>
      <c r="C339" s="2314"/>
      <c r="D339" s="2315"/>
      <c r="E339" s="2315"/>
      <c r="F339" s="2315"/>
      <c r="G339" s="2316"/>
      <c r="H339" s="684"/>
      <c r="I339" s="685"/>
      <c r="J339" s="1475"/>
      <c r="K339" s="686"/>
      <c r="L339" s="2329"/>
      <c r="M339" s="2328"/>
      <c r="N339" s="925" t="str">
        <f t="shared" si="13"/>
        <v/>
      </c>
      <c r="O339" s="922">
        <f t="shared" si="15"/>
        <v>11</v>
      </c>
      <c r="P339" s="848" t="str">
        <f t="shared" si="14"/>
        <v/>
      </c>
    </row>
    <row r="340" spans="2:33" ht="27" hidden="1" customHeight="1">
      <c r="B340" s="1020"/>
      <c r="C340" s="2314"/>
      <c r="D340" s="2315"/>
      <c r="E340" s="2315"/>
      <c r="F340" s="2315"/>
      <c r="G340" s="2316"/>
      <c r="H340" s="684"/>
      <c r="I340" s="685"/>
      <c r="J340" s="1475"/>
      <c r="K340" s="686"/>
      <c r="L340" s="2329"/>
      <c r="M340" s="2328"/>
      <c r="N340" s="925" t="str">
        <f t="shared" si="13"/>
        <v/>
      </c>
      <c r="O340" s="922">
        <f t="shared" si="15"/>
        <v>11</v>
      </c>
      <c r="P340" s="848" t="str">
        <f t="shared" si="14"/>
        <v/>
      </c>
    </row>
    <row r="341" spans="2:33" ht="24" hidden="1" customHeight="1">
      <c r="B341" s="671"/>
      <c r="C341" s="671"/>
      <c r="D341" s="689"/>
      <c r="E341" s="689"/>
      <c r="F341" s="689"/>
      <c r="G341" s="689"/>
      <c r="H341" s="689"/>
      <c r="J341" s="689"/>
      <c r="K341" s="693"/>
      <c r="L341" s="676"/>
      <c r="M341" s="676"/>
    </row>
    <row r="342" spans="2:33" ht="24" hidden="1" customHeight="1">
      <c r="B342" s="671"/>
      <c r="C342" s="671"/>
      <c r="D342" s="689"/>
      <c r="E342" s="689"/>
      <c r="F342" s="689"/>
      <c r="G342" s="689"/>
      <c r="H342" s="689"/>
      <c r="J342" s="689"/>
      <c r="K342" s="693"/>
      <c r="L342" s="676"/>
      <c r="M342" s="676"/>
      <c r="X342" s="97"/>
      <c r="Y342" s="97"/>
    </row>
    <row r="343" spans="2:33" ht="24" hidden="1" customHeight="1">
      <c r="B343" s="2354" t="s">
        <v>11</v>
      </c>
      <c r="C343" s="2354"/>
      <c r="D343" s="2354"/>
      <c r="E343" s="2354"/>
      <c r="F343" s="2354"/>
      <c r="G343" s="2332"/>
      <c r="H343" s="690"/>
      <c r="I343" s="691"/>
      <c r="J343" s="692"/>
      <c r="K343" s="694" t="s">
        <v>221</v>
      </c>
      <c r="L343" s="2355"/>
      <c r="M343" s="2356"/>
      <c r="O343" s="217" t="s">
        <v>1115</v>
      </c>
      <c r="W343" s="1519"/>
      <c r="X343" s="1499"/>
      <c r="Y343" s="1500"/>
    </row>
    <row r="344" spans="2:33" ht="24" hidden="1" customHeight="1">
      <c r="B344" s="2335" t="s">
        <v>5</v>
      </c>
      <c r="C344" s="2336"/>
      <c r="D344" s="2336"/>
      <c r="E344" s="2336"/>
      <c r="F344" s="2336"/>
      <c r="G344" s="2336"/>
      <c r="H344" s="2336"/>
      <c r="I344" s="2336"/>
      <c r="J344" s="2337"/>
      <c r="K344" s="704">
        <f>SUMIF(L241:L340,1,K241:K340)</f>
        <v>0</v>
      </c>
      <c r="L344" s="2355"/>
      <c r="M344" s="2356"/>
      <c r="O344" s="217">
        <f>SUMIF(W344:W351,"○",K344:K351)</f>
        <v>0</v>
      </c>
      <c r="W344" s="1519" t="s">
        <v>648</v>
      </c>
      <c r="X344" s="1499"/>
      <c r="Y344" s="1500"/>
    </row>
    <row r="345" spans="2:33" ht="24" hidden="1" customHeight="1">
      <c r="B345" s="2335" t="s">
        <v>6</v>
      </c>
      <c r="C345" s="2336"/>
      <c r="D345" s="2336"/>
      <c r="E345" s="2336"/>
      <c r="F345" s="2336"/>
      <c r="G345" s="2336"/>
      <c r="H345" s="2336"/>
      <c r="I345" s="2336"/>
      <c r="J345" s="2337"/>
      <c r="K345" s="704">
        <f>SUMIF(L241:L340,2,K241:K340)</f>
        <v>0</v>
      </c>
      <c r="L345" s="2356"/>
      <c r="M345" s="2371"/>
      <c r="W345" s="1519" t="s">
        <v>648</v>
      </c>
      <c r="X345" s="1499"/>
      <c r="Y345" s="1500"/>
    </row>
    <row r="346" spans="2:33" ht="24" hidden="1" customHeight="1">
      <c r="B346" s="2335" t="s">
        <v>7</v>
      </c>
      <c r="C346" s="2336"/>
      <c r="D346" s="2336"/>
      <c r="E346" s="2336"/>
      <c r="F346" s="2336"/>
      <c r="G346" s="2336"/>
      <c r="H346" s="2336"/>
      <c r="I346" s="2336"/>
      <c r="J346" s="2337"/>
      <c r="K346" s="704">
        <f>SUMIF(L241:L340,5,K241:K340)</f>
        <v>0</v>
      </c>
      <c r="L346" s="2356"/>
      <c r="M346" s="2371"/>
      <c r="W346" s="1519" t="s">
        <v>648</v>
      </c>
      <c r="X346" s="1499"/>
      <c r="Y346" s="1500"/>
    </row>
    <row r="347" spans="2:33" ht="24" hidden="1" customHeight="1">
      <c r="B347" s="2335" t="s">
        <v>8</v>
      </c>
      <c r="C347" s="2336"/>
      <c r="D347" s="2336"/>
      <c r="E347" s="2336"/>
      <c r="F347" s="2336"/>
      <c r="G347" s="2336"/>
      <c r="H347" s="2336"/>
      <c r="I347" s="2336"/>
      <c r="J347" s="2337"/>
      <c r="K347" s="704">
        <f>SUMIF(L241:L340,7,K241:K340)</f>
        <v>0</v>
      </c>
      <c r="L347" s="2356"/>
      <c r="M347" s="2371"/>
      <c r="W347" s="1519" t="s">
        <v>648</v>
      </c>
      <c r="X347" s="1499"/>
      <c r="Y347" s="1500"/>
    </row>
    <row r="348" spans="2:33" ht="24" hidden="1" customHeight="1">
      <c r="B348" s="2335" t="s">
        <v>283</v>
      </c>
      <c r="C348" s="2336"/>
      <c r="D348" s="2336"/>
      <c r="E348" s="2336"/>
      <c r="F348" s="2336"/>
      <c r="G348" s="2336"/>
      <c r="H348" s="2336"/>
      <c r="I348" s="2336"/>
      <c r="J348" s="2337"/>
      <c r="K348" s="704">
        <f>SUMIF(L241:L340,8,K241:K340)</f>
        <v>0</v>
      </c>
      <c r="L348" s="710"/>
      <c r="M348" s="711"/>
      <c r="W348" s="1519" t="s">
        <v>648</v>
      </c>
      <c r="X348" s="1499"/>
      <c r="Y348" s="1500"/>
    </row>
    <row r="349" spans="2:33" ht="24" hidden="1" customHeight="1">
      <c r="B349" s="2335" t="s">
        <v>9</v>
      </c>
      <c r="C349" s="2336"/>
      <c r="D349" s="2336"/>
      <c r="E349" s="2336"/>
      <c r="F349" s="2336"/>
      <c r="G349" s="2336"/>
      <c r="H349" s="2336"/>
      <c r="I349" s="2336"/>
      <c r="J349" s="2337"/>
      <c r="K349" s="704">
        <f>SUMIF(L241:L340,9,K241:K340)</f>
        <v>0</v>
      </c>
      <c r="L349" s="2356"/>
      <c r="M349" s="2371"/>
      <c r="W349" s="1519" t="s">
        <v>648</v>
      </c>
      <c r="X349" s="1499"/>
      <c r="Y349" s="1500"/>
      <c r="AA349" s="652"/>
      <c r="AB349" s="653"/>
      <c r="AC349" s="653"/>
      <c r="AD349" s="653"/>
      <c r="AE349" s="653"/>
      <c r="AF349" s="653"/>
      <c r="AG349" s="653"/>
    </row>
    <row r="350" spans="2:33" ht="24" hidden="1" customHeight="1">
      <c r="B350" s="2335" t="s">
        <v>10</v>
      </c>
      <c r="C350" s="2336"/>
      <c r="D350" s="2336"/>
      <c r="E350" s="2336"/>
      <c r="F350" s="2336"/>
      <c r="G350" s="2336"/>
      <c r="H350" s="2336"/>
      <c r="I350" s="2336"/>
      <c r="J350" s="2337"/>
      <c r="K350" s="704">
        <f>SUMIF(L241:L340,"Ｔ",K241:K340)</f>
        <v>0</v>
      </c>
      <c r="L350" s="2356"/>
      <c r="M350" s="2371"/>
      <c r="W350" s="1519"/>
      <c r="X350" s="1499"/>
      <c r="Y350" s="1500"/>
      <c r="AA350" s="652"/>
      <c r="AB350" s="653"/>
      <c r="AC350" s="653"/>
      <c r="AD350" s="653"/>
      <c r="AE350" s="653"/>
      <c r="AF350" s="653"/>
      <c r="AG350" s="653"/>
    </row>
    <row r="351" spans="2:33" ht="24" hidden="1" customHeight="1">
      <c r="B351" s="2332" t="s">
        <v>12</v>
      </c>
      <c r="C351" s="2333"/>
      <c r="D351" s="2333"/>
      <c r="E351" s="2333"/>
      <c r="F351" s="2333"/>
      <c r="G351" s="2333"/>
      <c r="H351" s="2333"/>
      <c r="I351" s="2333"/>
      <c r="J351" s="2334"/>
      <c r="K351" s="704">
        <f>T364</f>
        <v>0</v>
      </c>
      <c r="L351" s="2356"/>
      <c r="M351" s="2371"/>
      <c r="W351" s="1519" t="s">
        <v>648</v>
      </c>
      <c r="X351" s="1499"/>
      <c r="Y351" s="1500"/>
      <c r="AA351" s="652"/>
      <c r="AB351" s="653"/>
      <c r="AC351" s="653"/>
      <c r="AD351" s="72"/>
      <c r="AE351" s="653"/>
      <c r="AF351" s="72"/>
      <c r="AG351" s="72"/>
    </row>
    <row r="352" spans="2:33" hidden="1"/>
    <row r="354" spans="1:21" ht="29.25" customHeight="1">
      <c r="C354" s="2289" t="s">
        <v>458</v>
      </c>
      <c r="D354" s="2289"/>
      <c r="E354" s="2289"/>
      <c r="F354" s="2289"/>
      <c r="G354" s="2289"/>
      <c r="H354" s="2289"/>
      <c r="I354" s="2289"/>
      <c r="J354" s="2289"/>
    </row>
    <row r="355" spans="1:21" ht="29.25" customHeight="1">
      <c r="C355" s="2289"/>
      <c r="D355" s="2289"/>
      <c r="E355" s="2289"/>
      <c r="F355" s="2289"/>
      <c r="G355" s="2289"/>
      <c r="H355" s="2289"/>
      <c r="I355" s="2289"/>
      <c r="J355" s="2289"/>
    </row>
    <row r="356" spans="1:21" ht="29.25" customHeight="1">
      <c r="C356" s="2289"/>
      <c r="D356" s="2289"/>
      <c r="E356" s="2289"/>
      <c r="F356" s="2289"/>
      <c r="G356" s="2289"/>
      <c r="H356" s="2289"/>
      <c r="I356" s="2289"/>
      <c r="J356" s="2289"/>
    </row>
    <row r="357" spans="1:21">
      <c r="C357" s="647"/>
      <c r="D357" s="438"/>
      <c r="E357" s="204"/>
      <c r="F357" s="457"/>
      <c r="G357" s="204"/>
      <c r="H357" s="204"/>
      <c r="I357" s="456"/>
      <c r="J357" s="204"/>
    </row>
    <row r="358" spans="1:21">
      <c r="D358" s="844"/>
      <c r="E358" s="132"/>
      <c r="F358" s="845"/>
      <c r="G358" s="846"/>
      <c r="H358" s="2330"/>
      <c r="I358" s="2331"/>
      <c r="J358" s="2331"/>
    </row>
    <row r="359" spans="1:21">
      <c r="G359" s="220"/>
    </row>
    <row r="361" spans="1:21" hidden="1">
      <c r="A361" s="1022"/>
      <c r="M361" s="697" t="s">
        <v>379</v>
      </c>
      <c r="N361" s="697" t="s">
        <v>20</v>
      </c>
      <c r="O361" s="697" t="s">
        <v>21</v>
      </c>
      <c r="P361" s="697" t="s">
        <v>22</v>
      </c>
      <c r="Q361" s="1501" t="s">
        <v>23</v>
      </c>
      <c r="R361" s="1501" t="s">
        <v>24</v>
      </c>
      <c r="S361" s="1501" t="s">
        <v>25</v>
      </c>
      <c r="T361" s="1501" t="s">
        <v>26</v>
      </c>
      <c r="U361" s="87"/>
    </row>
    <row r="362" spans="1:21" hidden="1">
      <c r="A362" s="1022"/>
      <c r="M362" s="2323" t="s">
        <v>13</v>
      </c>
      <c r="N362" s="2323" t="s">
        <v>52</v>
      </c>
      <c r="O362" s="2323" t="s">
        <v>14</v>
      </c>
      <c r="P362" s="2323" t="s">
        <v>15</v>
      </c>
      <c r="Q362" s="2325" t="s">
        <v>16</v>
      </c>
      <c r="R362" s="2325" t="s">
        <v>17</v>
      </c>
      <c r="S362" s="2317" t="s">
        <v>18</v>
      </c>
      <c r="T362" s="2317" t="s">
        <v>19</v>
      </c>
      <c r="U362" s="87"/>
    </row>
    <row r="363" spans="1:21" ht="54" hidden="1" customHeight="1">
      <c r="A363" s="1022"/>
      <c r="M363" s="2324"/>
      <c r="N363" s="2324"/>
      <c r="O363" s="2324"/>
      <c r="P363" s="2324"/>
      <c r="Q363" s="2326"/>
      <c r="R363" s="2326"/>
      <c r="S363" s="2318"/>
      <c r="T363" s="2318"/>
      <c r="U363" s="87"/>
    </row>
    <row r="364" spans="1:21" hidden="1">
      <c r="A364" s="1022"/>
      <c r="M364" s="695">
        <f>SUMIF(X6:X351,"○",J6:J351)</f>
        <v>0</v>
      </c>
      <c r="N364" s="695">
        <f>ROUND(M364*0.03,0)</f>
        <v>0</v>
      </c>
      <c r="O364" s="696">
        <v>30000</v>
      </c>
      <c r="P364" s="695">
        <f>K350</f>
        <v>0</v>
      </c>
      <c r="Q364" s="1502" t="str">
        <f>IF(P364&gt;N364,"以上","以下")</f>
        <v>以下</v>
      </c>
      <c r="R364" s="1502" t="str">
        <f>IF(N364&gt;O364,"以上","以下")</f>
        <v>以下</v>
      </c>
      <c r="S364" s="1502" t="str">
        <f>IF(AND(Q364="以下",R364="以下"),"非対象0",IF(AND(Q364="以上",R364="以下"),"3％以上非対象","3千万以上非対象"))</f>
        <v>非対象0</v>
      </c>
      <c r="T364" s="1502">
        <f>IF(S364="非対象0",0,IF(S364="3％以上非対象",P364-N364,P364-O364))</f>
        <v>0</v>
      </c>
      <c r="U364" s="87"/>
    </row>
  </sheetData>
  <sheetProtection algorithmName="SHA-512" hashValue="u0zZMY7ME+5Ss8OdsqMvkG0w4IkSMFAXk9huoSt3euHiXMQ3U2vCBohCBI5m/LN2zSTK93/sfKD7FEctbKRmew==" saltValue="ZX5u4C3xUsWhdFbNl2m7vA==" spinCount="100000" sheet="1" objects="1" scenarios="1"/>
  <mergeCells count="363">
    <mergeCell ref="D160:H160"/>
    <mergeCell ref="D161:H161"/>
    <mergeCell ref="C162:C163"/>
    <mergeCell ref="K162:K163"/>
    <mergeCell ref="E165:H165"/>
    <mergeCell ref="D151:H151"/>
    <mergeCell ref="C152:C153"/>
    <mergeCell ref="K152:K153"/>
    <mergeCell ref="D154:H154"/>
    <mergeCell ref="D155:H155"/>
    <mergeCell ref="D156:H156"/>
    <mergeCell ref="D157:H157"/>
    <mergeCell ref="D158:H158"/>
    <mergeCell ref="D159:H159"/>
    <mergeCell ref="D142:H142"/>
    <mergeCell ref="D143:H143"/>
    <mergeCell ref="D144:H144"/>
    <mergeCell ref="D145:H145"/>
    <mergeCell ref="D146:H146"/>
    <mergeCell ref="D147:H147"/>
    <mergeCell ref="D148:H148"/>
    <mergeCell ref="D149:H149"/>
    <mergeCell ref="D150:H150"/>
    <mergeCell ref="D133:H133"/>
    <mergeCell ref="D134:H134"/>
    <mergeCell ref="D135:H135"/>
    <mergeCell ref="D136:H136"/>
    <mergeCell ref="D137:H137"/>
    <mergeCell ref="D138:H138"/>
    <mergeCell ref="D139:H139"/>
    <mergeCell ref="D140:H140"/>
    <mergeCell ref="D141:H141"/>
    <mergeCell ref="C115:D115"/>
    <mergeCell ref="E115:K115"/>
    <mergeCell ref="C116:D116"/>
    <mergeCell ref="E116:K116"/>
    <mergeCell ref="C117:D117"/>
    <mergeCell ref="E117:K117"/>
    <mergeCell ref="D128:H128"/>
    <mergeCell ref="D131:H131"/>
    <mergeCell ref="D132:H132"/>
    <mergeCell ref="C109:I109"/>
    <mergeCell ref="C111:D111"/>
    <mergeCell ref="E111:K111"/>
    <mergeCell ref="C112:D112"/>
    <mergeCell ref="E112:K112"/>
    <mergeCell ref="C113:D113"/>
    <mergeCell ref="E113:K113"/>
    <mergeCell ref="C114:D114"/>
    <mergeCell ref="E114:K114"/>
    <mergeCell ref="AB7:AC8"/>
    <mergeCell ref="R6:R7"/>
    <mergeCell ref="C298:G298"/>
    <mergeCell ref="C293:G293"/>
    <mergeCell ref="C294:G294"/>
    <mergeCell ref="C295:G295"/>
    <mergeCell ref="C296:G296"/>
    <mergeCell ref="C297:G297"/>
    <mergeCell ref="C271:G271"/>
    <mergeCell ref="C272:G272"/>
    <mergeCell ref="C280:G280"/>
    <mergeCell ref="C281:G281"/>
    <mergeCell ref="C282:G282"/>
    <mergeCell ref="C283:G283"/>
    <mergeCell ref="C254:G254"/>
    <mergeCell ref="C255:G255"/>
    <mergeCell ref="C256:G256"/>
    <mergeCell ref="E177:H177"/>
    <mergeCell ref="E181:H181"/>
    <mergeCell ref="C287:G287"/>
    <mergeCell ref="L285:M285"/>
    <mergeCell ref="F50:H50"/>
    <mergeCell ref="D55:H55"/>
    <mergeCell ref="L268:M268"/>
    <mergeCell ref="L351:M351"/>
    <mergeCell ref="L347:M347"/>
    <mergeCell ref="L349:M349"/>
    <mergeCell ref="L345:M345"/>
    <mergeCell ref="L346:M346"/>
    <mergeCell ref="C337:G337"/>
    <mergeCell ref="Y6:Y7"/>
    <mergeCell ref="C340:G340"/>
    <mergeCell ref="C240:G240"/>
    <mergeCell ref="C239:M239"/>
    <mergeCell ref="C326:G326"/>
    <mergeCell ref="C327:G327"/>
    <mergeCell ref="C328:G328"/>
    <mergeCell ref="C329:G329"/>
    <mergeCell ref="C322:G322"/>
    <mergeCell ref="C323:G323"/>
    <mergeCell ref="C324:G324"/>
    <mergeCell ref="C314:G314"/>
    <mergeCell ref="C315:G315"/>
    <mergeCell ref="C316:G316"/>
    <mergeCell ref="C317:G317"/>
    <mergeCell ref="C318:G318"/>
    <mergeCell ref="L350:M350"/>
    <mergeCell ref="B345:J345"/>
    <mergeCell ref="B3:D3"/>
    <mergeCell ref="E3:J3"/>
    <mergeCell ref="C241:G241"/>
    <mergeCell ref="C242:G242"/>
    <mergeCell ref="F64:I64"/>
    <mergeCell ref="E172:H172"/>
    <mergeCell ref="C64:E64"/>
    <mergeCell ref="E175:H175"/>
    <mergeCell ref="E176:H176"/>
    <mergeCell ref="E174:H174"/>
    <mergeCell ref="E178:H178"/>
    <mergeCell ref="E48:H48"/>
    <mergeCell ref="E173:H173"/>
    <mergeCell ref="F88:J88"/>
    <mergeCell ref="E208:H208"/>
    <mergeCell ref="E209:H209"/>
    <mergeCell ref="E192:H192"/>
    <mergeCell ref="E183:H183"/>
    <mergeCell ref="E185:H185"/>
    <mergeCell ref="E184:H184"/>
    <mergeCell ref="E190:H190"/>
    <mergeCell ref="E187:H187"/>
    <mergeCell ref="E188:H188"/>
    <mergeCell ref="E189:H189"/>
    <mergeCell ref="L315:M315"/>
    <mergeCell ref="L316:M316"/>
    <mergeCell ref="B344:J344"/>
    <mergeCell ref="L339:M339"/>
    <mergeCell ref="L335:M335"/>
    <mergeCell ref="C335:G335"/>
    <mergeCell ref="C336:G336"/>
    <mergeCell ref="C338:G338"/>
    <mergeCell ref="C339:G339"/>
    <mergeCell ref="L337:M337"/>
    <mergeCell ref="L338:M338"/>
    <mergeCell ref="L340:M340"/>
    <mergeCell ref="B343:G343"/>
    <mergeCell ref="L343:M343"/>
    <mergeCell ref="L344:M344"/>
    <mergeCell ref="L336:M336"/>
    <mergeCell ref="L333:M333"/>
    <mergeCell ref="L334:M334"/>
    <mergeCell ref="C334:G334"/>
    <mergeCell ref="L329:M329"/>
    <mergeCell ref="L331:M331"/>
    <mergeCell ref="C330:G330"/>
    <mergeCell ref="C331:G331"/>
    <mergeCell ref="L332:M332"/>
    <mergeCell ref="C321:G321"/>
    <mergeCell ref="L327:M327"/>
    <mergeCell ref="L328:M328"/>
    <mergeCell ref="L330:M330"/>
    <mergeCell ref="L323:M323"/>
    <mergeCell ref="L324:M324"/>
    <mergeCell ref="L325:M325"/>
    <mergeCell ref="L326:M326"/>
    <mergeCell ref="C325:G325"/>
    <mergeCell ref="L322:M322"/>
    <mergeCell ref="L321:M321"/>
    <mergeCell ref="L317:M317"/>
    <mergeCell ref="L318:M318"/>
    <mergeCell ref="L319:M319"/>
    <mergeCell ref="L320:M320"/>
    <mergeCell ref="L287:M287"/>
    <mergeCell ref="L289:M289"/>
    <mergeCell ref="C304:G304"/>
    <mergeCell ref="C305:G305"/>
    <mergeCell ref="L311:M311"/>
    <mergeCell ref="L312:M312"/>
    <mergeCell ref="L314:M314"/>
    <mergeCell ref="L307:M307"/>
    <mergeCell ref="L308:M308"/>
    <mergeCell ref="L309:M309"/>
    <mergeCell ref="L310:M310"/>
    <mergeCell ref="L313:M313"/>
    <mergeCell ref="L306:M306"/>
    <mergeCell ref="C306:G306"/>
    <mergeCell ref="C307:G307"/>
    <mergeCell ref="C310:G310"/>
    <mergeCell ref="C311:G311"/>
    <mergeCell ref="C312:G312"/>
    <mergeCell ref="C320:G320"/>
    <mergeCell ref="L301:M301"/>
    <mergeCell ref="L302:M302"/>
    <mergeCell ref="L303:M303"/>
    <mergeCell ref="L304:M304"/>
    <mergeCell ref="L305:M305"/>
    <mergeCell ref="C288:G288"/>
    <mergeCell ref="C289:G289"/>
    <mergeCell ref="L295:M295"/>
    <mergeCell ref="L296:M296"/>
    <mergeCell ref="L298:M298"/>
    <mergeCell ref="L291:M291"/>
    <mergeCell ref="L292:M292"/>
    <mergeCell ref="L293:M293"/>
    <mergeCell ref="L294:M294"/>
    <mergeCell ref="L297:M297"/>
    <mergeCell ref="L290:M290"/>
    <mergeCell ref="C299:G299"/>
    <mergeCell ref="C300:G300"/>
    <mergeCell ref="C301:G301"/>
    <mergeCell ref="C302:G302"/>
    <mergeCell ref="C303:G303"/>
    <mergeCell ref="C291:G291"/>
    <mergeCell ref="C290:G290"/>
    <mergeCell ref="L288:M288"/>
    <mergeCell ref="L299:M299"/>
    <mergeCell ref="L300:M300"/>
    <mergeCell ref="E200:H200"/>
    <mergeCell ref="E202:H202"/>
    <mergeCell ref="C292:G292"/>
    <mergeCell ref="L283:M283"/>
    <mergeCell ref="L284:M284"/>
    <mergeCell ref="L275:M275"/>
    <mergeCell ref="L276:M276"/>
    <mergeCell ref="L277:M277"/>
    <mergeCell ref="L278:M278"/>
    <mergeCell ref="L281:M281"/>
    <mergeCell ref="L279:M279"/>
    <mergeCell ref="L286:M286"/>
    <mergeCell ref="C284:G284"/>
    <mergeCell ref="L280:M280"/>
    <mergeCell ref="L282:M282"/>
    <mergeCell ref="C252:G252"/>
    <mergeCell ref="C253:G253"/>
    <mergeCell ref="C258:G258"/>
    <mergeCell ref="E203:H203"/>
    <mergeCell ref="E205:H205"/>
    <mergeCell ref="E206:H206"/>
    <mergeCell ref="E201:H201"/>
    <mergeCell ref="C260:G260"/>
    <mergeCell ref="C233:F233"/>
    <mergeCell ref="C231:H231"/>
    <mergeCell ref="E210:H210"/>
    <mergeCell ref="E191:H191"/>
    <mergeCell ref="E199:H199"/>
    <mergeCell ref="F224:I224"/>
    <mergeCell ref="C225:H225"/>
    <mergeCell ref="L251:M251"/>
    <mergeCell ref="C251:G251"/>
    <mergeCell ref="C213:E213"/>
    <mergeCell ref="C215:J215"/>
    <mergeCell ref="L216:M216"/>
    <mergeCell ref="E195:H195"/>
    <mergeCell ref="E196:H196"/>
    <mergeCell ref="E211:H211"/>
    <mergeCell ref="E204:H204"/>
    <mergeCell ref="E207:H207"/>
    <mergeCell ref="L253:M253"/>
    <mergeCell ref="L267:M267"/>
    <mergeCell ref="C234:F234"/>
    <mergeCell ref="C250:G250"/>
    <mergeCell ref="L242:M242"/>
    <mergeCell ref="L250:M250"/>
    <mergeCell ref="L243:M243"/>
    <mergeCell ref="L247:M247"/>
    <mergeCell ref="L248:M248"/>
    <mergeCell ref="C243:G243"/>
    <mergeCell ref="C244:G244"/>
    <mergeCell ref="C245:G245"/>
    <mergeCell ref="C246:G246"/>
    <mergeCell ref="C247:G247"/>
    <mergeCell ref="C248:G248"/>
    <mergeCell ref="C249:G249"/>
    <mergeCell ref="L240:M240"/>
    <mergeCell ref="C262:G262"/>
    <mergeCell ref="L252:M252"/>
    <mergeCell ref="L265:M265"/>
    <mergeCell ref="L254:M254"/>
    <mergeCell ref="L257:M257"/>
    <mergeCell ref="C257:G257"/>
    <mergeCell ref="C278:G278"/>
    <mergeCell ref="L269:M269"/>
    <mergeCell ref="L266:M266"/>
    <mergeCell ref="L272:M272"/>
    <mergeCell ref="C279:G279"/>
    <mergeCell ref="C270:G270"/>
    <mergeCell ref="L255:M255"/>
    <mergeCell ref="L256:M256"/>
    <mergeCell ref="C273:G273"/>
    <mergeCell ref="L270:M270"/>
    <mergeCell ref="L271:M271"/>
    <mergeCell ref="L273:M273"/>
    <mergeCell ref="L274:M274"/>
    <mergeCell ref="C261:G261"/>
    <mergeCell ref="L261:M261"/>
    <mergeCell ref="L262:M262"/>
    <mergeCell ref="L263:M263"/>
    <mergeCell ref="L264:M264"/>
    <mergeCell ref="L259:M259"/>
    <mergeCell ref="L260:M260"/>
    <mergeCell ref="C259:G259"/>
    <mergeCell ref="L258:M258"/>
    <mergeCell ref="B351:J351"/>
    <mergeCell ref="B349:J349"/>
    <mergeCell ref="C265:G265"/>
    <mergeCell ref="C266:G266"/>
    <mergeCell ref="C267:G267"/>
    <mergeCell ref="C268:G268"/>
    <mergeCell ref="C269:G269"/>
    <mergeCell ref="C263:G263"/>
    <mergeCell ref="C264:G264"/>
    <mergeCell ref="B350:J350"/>
    <mergeCell ref="B348:J348"/>
    <mergeCell ref="C319:G319"/>
    <mergeCell ref="C308:G308"/>
    <mergeCell ref="C285:G285"/>
    <mergeCell ref="C286:G286"/>
    <mergeCell ref="C274:G274"/>
    <mergeCell ref="C275:G275"/>
    <mergeCell ref="C276:G276"/>
    <mergeCell ref="C277:G277"/>
    <mergeCell ref="C333:G333"/>
    <mergeCell ref="C313:G313"/>
    <mergeCell ref="B346:J346"/>
    <mergeCell ref="B347:J347"/>
    <mergeCell ref="C332:G332"/>
    <mergeCell ref="E51:H51"/>
    <mergeCell ref="E179:H179"/>
    <mergeCell ref="I171:J171"/>
    <mergeCell ref="C171:H171"/>
    <mergeCell ref="C309:G309"/>
    <mergeCell ref="T362:T363"/>
    <mergeCell ref="C61:J61"/>
    <mergeCell ref="C62:J62"/>
    <mergeCell ref="P362:P363"/>
    <mergeCell ref="Q362:Q363"/>
    <mergeCell ref="R362:R363"/>
    <mergeCell ref="E194:H194"/>
    <mergeCell ref="E198:H198"/>
    <mergeCell ref="O362:O363"/>
    <mergeCell ref="L241:M241"/>
    <mergeCell ref="S362:S363"/>
    <mergeCell ref="M362:M363"/>
    <mergeCell ref="N362:N363"/>
    <mergeCell ref="L245:M245"/>
    <mergeCell ref="L246:M246"/>
    <mergeCell ref="L249:M249"/>
    <mergeCell ref="L244:M244"/>
    <mergeCell ref="E193:H193"/>
    <mergeCell ref="H358:J358"/>
    <mergeCell ref="G32:H32"/>
    <mergeCell ref="K13:M13"/>
    <mergeCell ref="K14:M14"/>
    <mergeCell ref="C166:F166"/>
    <mergeCell ref="C354:J356"/>
    <mergeCell ref="K35:N35"/>
    <mergeCell ref="Z6:Z7"/>
    <mergeCell ref="W6:W7"/>
    <mergeCell ref="E197:H197"/>
    <mergeCell ref="X6:X7"/>
    <mergeCell ref="S6:S7"/>
    <mergeCell ref="T6:T7"/>
    <mergeCell ref="U6:U7"/>
    <mergeCell ref="V6:V7"/>
    <mergeCell ref="E180:H180"/>
    <mergeCell ref="Q6:Q7"/>
    <mergeCell ref="E186:H186"/>
    <mergeCell ref="C168:J168"/>
    <mergeCell ref="E182:H182"/>
    <mergeCell ref="K9:M9"/>
    <mergeCell ref="K11:M11"/>
    <mergeCell ref="K16:M16"/>
    <mergeCell ref="F49:H49"/>
    <mergeCell ref="F52:H52"/>
  </mergeCells>
  <phoneticPr fontId="5"/>
  <dataValidations xWindow="758" yWindow="351" count="15">
    <dataValidation type="list" allowBlank="1" showInputMessage="1" showErrorMessage="1" sqref="H233" xr:uid="{00000000-0002-0000-0300-000000000000}">
      <formula1>発注形態</formula1>
    </dataValidation>
    <dataValidation type="whole" allowBlank="1" showInputMessage="1" showErrorMessage="1" sqref="J172:J211 J9 J16:J19 J11 J81:J83 J76:J78 J71:J73 J66:J68 VSD54 VIH54 UYL54 UOP54 UET54 TUX54 TLB54 TBF54 SRJ54 SHN54 RXR54 RNV54 RDZ54 QUD54 QKH54 QAL54 PQP54 PGT54 OWX54 ONB54 ODF54 NTJ54 NJN54 MZR54 MPV54 MFZ54 LWD54 LMH54 LCL54 KSP54 KIT54 JYX54 JPB54 JFF54 IVJ54 ILN54 IBR54 HRV54 HHZ54 GYD54 GOH54 GEL54 FUP54 FKT54 FAX54 ERB54 EHF54 DXJ54 DNN54 DDR54 CTV54 CJZ54 CAD54 BQH54 BGL54 AWP54 AMT54 ACX54 TB54 JF54 J98:J100 J86 J49:J56 WBZ54 J28:J47 J89:J91 J21 J26 WVR54 WLV54 J108 J118:J120 J122:J128 J154:J162 J130:J152 J165 M217:M224 I225" xr:uid="{00000000-0002-0000-0300-000001000000}">
      <formula1>0</formula1>
      <formula2>9999999999</formula2>
    </dataValidation>
    <dataValidation type="whole" allowBlank="1" showErrorMessage="1" promptTitle="材料費" prompt="『材料費』の積算金額を入力してください。" sqref="J87 J107" xr:uid="{00000000-0002-0000-0300-000002000000}">
      <formula1>0</formula1>
      <formula2>9999999999</formula2>
    </dataValidation>
    <dataValidation type="list" allowBlank="1" showInputMessage="1" showErrorMessage="1" sqref="J101:J105 J92:J96 M31" xr:uid="{00000000-0002-0000-0300-000003000000}">
      <formula1>工事費_有無</formula1>
    </dataValidation>
    <dataValidation type="whole" allowBlank="1" showInputMessage="1" showErrorMessage="1" promptTitle="共通仮設費積算対象金額" prompt="『共通仮設費積算対象金額』の積算金額を入力してください。" sqref="J59" xr:uid="{00000000-0002-0000-0300-000004000000}">
      <formula1>0</formula1>
      <formula2>9999999999</formula2>
    </dataValidation>
    <dataValidation type="list" allowBlank="1" showInputMessage="1" showErrorMessage="1" sqref="L241:M340 K122:K163" xr:uid="{00000000-0002-0000-0300-000005000000}">
      <formula1>管理区分</formula1>
    </dataValidation>
    <dataValidation type="whole" allowBlank="1" showInputMessage="1" showErrorMessage="1" promptTitle="材料費" prompt="『材料費』の積算金額を入力してください。" sqref="J10" xr:uid="{00000000-0002-0000-0300-000006000000}">
      <formula1>0</formula1>
      <formula2>9999999999</formula2>
    </dataValidation>
    <dataValidation type="whole" allowBlank="1" showInputMessage="1" showErrorMessage="1" promptTitle="労務費" prompt="『労務費』の積算金額を入力してください。" sqref="J12" xr:uid="{00000000-0002-0000-0300-000007000000}">
      <formula1>0</formula1>
      <formula2>9999999999</formula2>
    </dataValidation>
    <dataValidation type="whole" allowBlank="1" showInputMessage="1" showErrorMessage="1" promptTitle="機械機具等損料" prompt="『機械機具等損料』の積算金額を入力してください。" sqref="J15" xr:uid="{00000000-0002-0000-0300-000008000000}">
      <formula1>0</formula1>
      <formula2>9999999999</formula2>
    </dataValidation>
    <dataValidation type="whole" allowBlank="1" showInputMessage="1" showErrorMessage="1" promptTitle="交通誘導警備員Ｂ" prompt="交通誘導警備員Ｂの費用内訳を入力して下さい。" sqref="J14" xr:uid="{00000000-0002-0000-0300-000009000000}">
      <formula1>0</formula1>
      <formula2>9999999999</formula2>
    </dataValidation>
    <dataValidation type="whole" allowBlank="1" showInputMessage="1" showErrorMessage="1" promptTitle="交通誘導警備員Ａ" prompt="交通誘導警備員Ａの費用内訳を入力して下さい。_x000a_" sqref="J13" xr:uid="{00000000-0002-0000-0300-00000A000000}">
      <formula1>0</formula1>
      <formula2>9999999999</formula2>
    </dataValidation>
    <dataValidation type="decimal" allowBlank="1" showInputMessage="1" showErrorMessage="1" sqref="J241:J340" xr:uid="{00000000-0002-0000-0300-00000B000000}">
      <formula1>0.1</formula1>
      <formula2>999999999</formula2>
    </dataValidation>
    <dataValidation type="whole" allowBlank="1" showInputMessage="1" showErrorMessage="1" sqref="K242:K340" xr:uid="{00000000-0002-0000-0300-00000C000000}">
      <formula1>1</formula1>
      <formula2>999999999999</formula2>
    </dataValidation>
    <dataValidation type="whole" allowBlank="1" showInputMessage="1" showErrorMessage="1" sqref="K241" xr:uid="{00000000-0002-0000-0300-00000D000000}">
      <formula1>1</formula1>
      <formula2>999999999</formula2>
    </dataValidation>
    <dataValidation type="whole" allowBlank="1" showErrorMessage="1" prompt="光ケーブル工事の場合、光ケーブルの購入費を必ず計上してください。_x000a_光ケーブル工事の場合で、光ケーブルの購入費の計上がない場合、エラーとなりますので注意してください。" sqref="J129" xr:uid="{97161A18-7137-4475-A425-C6117BF7B630}">
      <formula1>0</formula1>
      <formula2>9999999999</formula2>
    </dataValidation>
  </dataValidations>
  <pageMargins left="0.39370078740157483" right="0.15748031496062992" top="0.59055118110236227" bottom="0.23622047244094491" header="0.31496062992125984" footer="0.15748031496062992"/>
  <pageSetup paperSize="8" scale="54" fitToWidth="2" fitToHeight="2" orientation="portrait" r:id="rId1"/>
  <headerFooter alignWithMargins="0">
    <oddHeader>&amp;L&amp;A</oddHeader>
    <oddFooter>&amp;C&amp;P/&amp;N</oddFooter>
  </headerFooter>
  <rowBreaks count="2" manualBreakCount="2">
    <brk id="63" max="22" man="1"/>
    <brk id="211" max="22" man="1"/>
  </rowBreaks>
  <ignoredErrors>
    <ignoredError sqref="D10:D19 D24:D31 D33:D40 D48:D51 D42:D46" numberStoredAsText="1"/>
    <ignoredError sqref="I12 I36"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4"/>
  </sheetPr>
  <dimension ref="A1:X72"/>
  <sheetViews>
    <sheetView showGridLines="0" topLeftCell="A2" zoomScale="85" zoomScaleNormal="85" zoomScaleSheetLayoutView="100" workbookViewId="0">
      <selection activeCell="K7" sqref="K7"/>
    </sheetView>
  </sheetViews>
  <sheetFormatPr defaultRowHeight="13.5"/>
  <cols>
    <col min="1" max="1" width="3.5" style="241" customWidth="1"/>
    <col min="2" max="3" width="3.625" style="241" customWidth="1"/>
    <col min="4" max="4" width="3.375" style="241" customWidth="1"/>
    <col min="5" max="5" width="9" style="241"/>
    <col min="6" max="6" width="10" style="241" customWidth="1"/>
    <col min="7" max="7" width="6.375" style="241" customWidth="1"/>
    <col min="8" max="8" width="8" style="241" customWidth="1"/>
    <col min="9" max="9" width="6.875" style="241" customWidth="1"/>
    <col min="10" max="10" width="3.875" style="96" customWidth="1"/>
    <col min="11" max="11" width="9.625" style="74" customWidth="1"/>
    <col min="12" max="12" width="2.75" style="90" customWidth="1"/>
    <col min="13" max="13" width="6.25" style="90" customWidth="1"/>
    <col min="14" max="14" width="2.875" style="90" customWidth="1"/>
    <col min="15" max="15" width="6.375" style="90" customWidth="1"/>
    <col min="16" max="16" width="3" style="90" customWidth="1"/>
    <col min="17" max="17" width="2.375" style="241" bestFit="1" customWidth="1"/>
    <col min="18" max="18" width="17.625" style="112" hidden="1" customWidth="1"/>
    <col min="19" max="19" width="12.125" style="112" hidden="1" customWidth="1"/>
    <col min="20" max="20" width="4.875" style="242" customWidth="1"/>
    <col min="21" max="22" width="9" style="241" customWidth="1"/>
    <col min="23" max="23" width="10.625" style="241" bestFit="1" customWidth="1"/>
    <col min="24" max="16384" width="9" style="241"/>
  </cols>
  <sheetData>
    <row r="1" spans="1:22" s="245" customFormat="1" ht="10.5" hidden="1" customHeight="1">
      <c r="A1" s="808" t="s">
        <v>642</v>
      </c>
      <c r="B1" s="808">
        <f>COUNTIF($J$7:$J$45,"※")</f>
        <v>18</v>
      </c>
      <c r="C1" s="809" t="s">
        <v>643</v>
      </c>
      <c r="D1" s="808">
        <f>COUNTIF($J$7:$J$45,"E")+COUNTIF($J$7:$J$45,"E ")</f>
        <v>0</v>
      </c>
      <c r="J1" s="93"/>
      <c r="K1" s="49"/>
      <c r="L1" s="88"/>
      <c r="M1" s="88"/>
      <c r="N1" s="88"/>
      <c r="O1" s="88"/>
      <c r="P1" s="88"/>
      <c r="R1" s="544"/>
      <c r="S1" s="544"/>
      <c r="T1" s="242"/>
      <c r="U1" s="241"/>
      <c r="V1" s="241"/>
    </row>
    <row r="2" spans="1:22" s="245" customFormat="1" ht="27" customHeight="1">
      <c r="A2" s="375"/>
      <c r="B2" s="375"/>
      <c r="C2" s="810"/>
      <c r="D2" s="375"/>
      <c r="J2" s="93"/>
      <c r="K2" s="49"/>
      <c r="L2" s="88"/>
      <c r="M2" s="88"/>
      <c r="N2" s="88"/>
      <c r="O2" s="88"/>
      <c r="P2" s="88"/>
      <c r="R2" s="111"/>
      <c r="S2" s="111"/>
      <c r="T2" s="242"/>
      <c r="U2" s="241"/>
      <c r="V2" s="241"/>
    </row>
    <row r="3" spans="1:22" s="245" customFormat="1" ht="24" customHeight="1">
      <c r="A3" s="375"/>
      <c r="B3" s="375"/>
      <c r="C3" s="2277" t="s">
        <v>707</v>
      </c>
      <c r="D3" s="2366"/>
      <c r="E3" s="2367"/>
      <c r="F3" s="2411" t="str">
        <f>IF(工事情報!G4="","",工事情報!G4)</f>
        <v/>
      </c>
      <c r="G3" s="2412"/>
      <c r="H3" s="2412"/>
      <c r="I3" s="2412"/>
      <c r="J3" s="2412"/>
      <c r="K3" s="2412"/>
      <c r="L3" s="2413"/>
      <c r="M3" s="2104"/>
      <c r="N3" s="2104"/>
      <c r="O3" s="2104"/>
      <c r="P3" s="2104"/>
      <c r="R3" s="111"/>
      <c r="S3" s="111"/>
      <c r="T3" s="242"/>
      <c r="U3" s="241"/>
      <c r="V3" s="241"/>
    </row>
    <row r="4" spans="1:22" s="245" customFormat="1" ht="30" customHeight="1">
      <c r="A4" s="241"/>
      <c r="J4" s="93"/>
      <c r="K4" s="49"/>
      <c r="L4" s="88"/>
      <c r="M4" s="88"/>
      <c r="N4" s="88"/>
      <c r="O4" s="88"/>
      <c r="P4" s="88"/>
      <c r="R4" s="217"/>
      <c r="S4" s="217"/>
      <c r="T4" s="242"/>
      <c r="U4" s="241"/>
      <c r="V4" s="241"/>
    </row>
    <row r="5" spans="1:22" s="245" customFormat="1" ht="15" customHeight="1">
      <c r="A5" s="19"/>
      <c r="B5" s="19"/>
      <c r="C5" s="1417" t="s">
        <v>1678</v>
      </c>
      <c r="D5" s="1417"/>
      <c r="E5" s="1418"/>
      <c r="F5" s="1418"/>
      <c r="G5" s="1418"/>
      <c r="H5" s="1418"/>
      <c r="I5" s="1418"/>
      <c r="J5" s="130"/>
      <c r="K5" s="49"/>
      <c r="L5" s="89"/>
      <c r="M5" s="89"/>
      <c r="N5" s="89"/>
      <c r="O5" s="89"/>
      <c r="P5" s="89"/>
      <c r="Q5" s="1418"/>
      <c r="R5" s="217"/>
      <c r="S5" s="217"/>
      <c r="T5" s="242"/>
      <c r="U5" s="241"/>
      <c r="V5" s="241"/>
    </row>
    <row r="6" spans="1:22" s="245" customFormat="1" ht="15" customHeight="1">
      <c r="A6" s="3"/>
      <c r="B6" s="1066"/>
      <c r="C6" s="1419"/>
      <c r="D6" s="72"/>
      <c r="E6" s="1420"/>
      <c r="F6" s="1420"/>
      <c r="G6" s="1420"/>
      <c r="H6" s="1420"/>
      <c r="I6" s="1420"/>
      <c r="J6" s="134"/>
      <c r="K6" s="72"/>
      <c r="L6" s="115"/>
      <c r="M6" s="115"/>
      <c r="N6" s="115"/>
      <c r="O6" s="115"/>
      <c r="P6" s="115"/>
      <c r="Q6" s="1420"/>
      <c r="R6" s="217"/>
      <c r="S6" s="217"/>
      <c r="T6" s="242"/>
      <c r="U6" s="241"/>
      <c r="V6" s="241"/>
    </row>
    <row r="7" spans="1:22" s="245" customFormat="1" ht="15" customHeight="1">
      <c r="A7" s="3"/>
      <c r="B7" s="1066"/>
      <c r="C7" s="1421" t="s">
        <v>1679</v>
      </c>
      <c r="D7" s="302" t="s">
        <v>1680</v>
      </c>
      <c r="E7" s="1422"/>
      <c r="F7" s="1422"/>
      <c r="G7" s="1422"/>
      <c r="H7" s="1422"/>
      <c r="I7" s="1422"/>
      <c r="J7" s="1406" t="str">
        <f>IF(K7="","※",IF(AND(OR(K8&lt;&gt;0,K9&lt;&gt;0,K11&lt;&gt;0,K12&lt;&gt;0,K14&lt;&gt;0),K7&lt;&gt;"YES")=TRUE,"E",""))</f>
        <v>※</v>
      </c>
      <c r="K7" s="2109"/>
      <c r="L7" s="2105"/>
      <c r="M7" s="2105"/>
      <c r="N7" s="2105"/>
      <c r="O7" s="2105"/>
      <c r="P7" s="2105"/>
      <c r="Q7" s="1423"/>
      <c r="R7" s="217"/>
      <c r="S7" s="217"/>
      <c r="T7" s="242"/>
      <c r="U7" s="241"/>
      <c r="V7" s="241"/>
    </row>
    <row r="8" spans="1:22" s="245" customFormat="1" ht="15" customHeight="1">
      <c r="A8" s="3"/>
      <c r="B8" s="1066"/>
      <c r="C8" s="1424" t="s">
        <v>1681</v>
      </c>
      <c r="D8" s="300" t="s">
        <v>1682</v>
      </c>
      <c r="E8" s="1425"/>
      <c r="F8" s="1425"/>
      <c r="G8" s="1425"/>
      <c r="H8" s="1425"/>
      <c r="I8" s="1425"/>
      <c r="J8" s="1407" t="str">
        <f>IF(K$7="","",IF(AND(K$7="Yes",K8=""),"※",IF(K$7="No","以下入力不要","")))</f>
        <v/>
      </c>
      <c r="K8" s="2414"/>
      <c r="L8" s="2415"/>
      <c r="M8" s="2415"/>
      <c r="N8" s="2415"/>
      <c r="O8" s="2415"/>
      <c r="P8" s="2416"/>
      <c r="Q8" s="1426"/>
      <c r="R8" s="217"/>
      <c r="S8" s="217"/>
      <c r="T8" s="242"/>
      <c r="U8" s="241"/>
      <c r="V8" s="241"/>
    </row>
    <row r="9" spans="1:22" s="245" customFormat="1" ht="15" customHeight="1">
      <c r="A9" s="3"/>
      <c r="B9" s="1066"/>
      <c r="C9" s="1424" t="s">
        <v>1684</v>
      </c>
      <c r="D9" s="821" t="s">
        <v>1685</v>
      </c>
      <c r="E9" s="1427"/>
      <c r="F9" s="1427"/>
      <c r="G9" s="1427"/>
      <c r="H9" s="1427"/>
      <c r="I9" s="1427"/>
      <c r="J9" s="1407" t="str">
        <f>IF(K$7="","",IF(AND(K$7="YES",K9=""),"※",""))</f>
        <v/>
      </c>
      <c r="K9" s="2111"/>
      <c r="L9" s="2108" t="s">
        <v>876</v>
      </c>
      <c r="M9" s="2113"/>
      <c r="N9" s="2108" t="s">
        <v>877</v>
      </c>
      <c r="O9" s="2113"/>
      <c r="P9" s="2110" t="s">
        <v>2346</v>
      </c>
      <c r="Q9" s="1426"/>
      <c r="R9" s="2112" t="e">
        <f>DATE(VLOOKUP(K9,Table!$A$792:$B$801,2,0),M9,O9)</f>
        <v>#N/A</v>
      </c>
      <c r="S9" s="217"/>
      <c r="T9" s="242"/>
      <c r="U9" s="241"/>
      <c r="V9" s="241"/>
    </row>
    <row r="10" spans="1:22" s="245" customFormat="1" ht="15" customHeight="1">
      <c r="A10" s="3"/>
      <c r="B10" s="1066"/>
      <c r="C10" s="1424" t="s">
        <v>1686</v>
      </c>
      <c r="D10" s="821" t="s">
        <v>1687</v>
      </c>
      <c r="E10" s="1425"/>
      <c r="F10" s="1425"/>
      <c r="G10" s="1425"/>
      <c r="H10" s="1425"/>
      <c r="I10" s="1428"/>
      <c r="J10" s="1407" t="str">
        <f t="shared" ref="J10:J14" si="0">IF(K$7="","",IF(AND(K$7="YES",K10=""),"※",""))</f>
        <v/>
      </c>
      <c r="K10" s="2111"/>
      <c r="L10" s="2108" t="s">
        <v>876</v>
      </c>
      <c r="M10" s="2113"/>
      <c r="N10" s="2108" t="s">
        <v>877</v>
      </c>
      <c r="O10" s="2113"/>
      <c r="P10" s="2110" t="s">
        <v>2346</v>
      </c>
      <c r="Q10" s="1426"/>
      <c r="R10" s="2112" t="e">
        <f>DATE(VLOOKUP(K10,Table!$A$792:$B$801,2,0),M10,O10)</f>
        <v>#N/A</v>
      </c>
      <c r="S10" s="217"/>
      <c r="T10" s="242"/>
      <c r="U10" s="241"/>
      <c r="V10" s="241"/>
    </row>
    <row r="11" spans="1:22" s="245" customFormat="1" ht="15" customHeight="1">
      <c r="A11" s="3"/>
      <c r="B11" s="1066"/>
      <c r="C11" s="1424" t="s">
        <v>1688</v>
      </c>
      <c r="D11" s="300" t="s">
        <v>1689</v>
      </c>
      <c r="E11" s="1425"/>
      <c r="F11" s="1425"/>
      <c r="G11" s="1425"/>
      <c r="H11" s="1425"/>
      <c r="I11" s="1428"/>
      <c r="J11" s="1407" t="str">
        <f t="shared" si="0"/>
        <v/>
      </c>
      <c r="K11" s="2111"/>
      <c r="L11" s="2108" t="s">
        <v>876</v>
      </c>
      <c r="M11" s="2113"/>
      <c r="N11" s="2108" t="s">
        <v>877</v>
      </c>
      <c r="O11" s="2113"/>
      <c r="P11" s="2110" t="s">
        <v>2346</v>
      </c>
      <c r="Q11" s="1426"/>
      <c r="R11" s="2112" t="e">
        <f>DATE(VLOOKUP(K11,Table!$A$792:$B$801,2,0),M11,O11)</f>
        <v>#N/A</v>
      </c>
      <c r="S11" s="217"/>
      <c r="T11" s="242"/>
      <c r="U11" s="241"/>
      <c r="V11" s="241"/>
    </row>
    <row r="12" spans="1:22" s="245" customFormat="1" ht="15" customHeight="1">
      <c r="A12" s="3"/>
      <c r="B12" s="1066"/>
      <c r="C12" s="1424" t="s">
        <v>1690</v>
      </c>
      <c r="D12" s="300" t="s">
        <v>1691</v>
      </c>
      <c r="E12" s="1425"/>
      <c r="F12" s="1425"/>
      <c r="G12" s="1425"/>
      <c r="H12" s="1425"/>
      <c r="I12" s="1428"/>
      <c r="J12" s="1407" t="str">
        <f t="shared" si="0"/>
        <v/>
      </c>
      <c r="K12" s="2111"/>
      <c r="L12" s="2108" t="s">
        <v>876</v>
      </c>
      <c r="M12" s="2113"/>
      <c r="N12" s="2108" t="s">
        <v>877</v>
      </c>
      <c r="O12" s="2113"/>
      <c r="P12" s="2110" t="s">
        <v>2346</v>
      </c>
      <c r="Q12" s="1426"/>
      <c r="R12" s="2112" t="e">
        <f>DATE(VLOOKUP(K12,Table!$A$792:$B$801,2,0),M12,O12)</f>
        <v>#N/A</v>
      </c>
      <c r="S12" s="217"/>
      <c r="T12" s="242"/>
      <c r="U12" s="241"/>
      <c r="V12" s="241"/>
    </row>
    <row r="13" spans="1:22" s="245" customFormat="1" ht="15" customHeight="1">
      <c r="A13" s="3"/>
      <c r="B13" s="1066"/>
      <c r="C13" s="1424" t="s">
        <v>1692</v>
      </c>
      <c r="D13" s="300" t="s">
        <v>1693</v>
      </c>
      <c r="E13" s="1425"/>
      <c r="F13" s="1425"/>
      <c r="G13" s="1425"/>
      <c r="H13" s="1425"/>
      <c r="I13" s="1428"/>
      <c r="J13" s="1407" t="str">
        <f t="shared" si="0"/>
        <v/>
      </c>
      <c r="K13" s="2111"/>
      <c r="L13" s="2108" t="s">
        <v>876</v>
      </c>
      <c r="M13" s="2113"/>
      <c r="N13" s="2108" t="s">
        <v>877</v>
      </c>
      <c r="O13" s="2113"/>
      <c r="P13" s="2110" t="s">
        <v>2346</v>
      </c>
      <c r="Q13" s="1426"/>
      <c r="R13" s="2112" t="e">
        <f>DATE(VLOOKUP(K13,Table!$A$792:$B$801,2,0),M13,O13)</f>
        <v>#N/A</v>
      </c>
      <c r="S13" s="217"/>
      <c r="T13" s="242"/>
      <c r="U13" s="241"/>
      <c r="V13" s="241"/>
    </row>
    <row r="14" spans="1:22" s="245" customFormat="1" ht="15" customHeight="1">
      <c r="A14" s="3"/>
      <c r="B14" s="1066"/>
      <c r="C14" s="1429" t="s">
        <v>1694</v>
      </c>
      <c r="D14" s="1305" t="s">
        <v>1695</v>
      </c>
      <c r="E14" s="1430"/>
      <c r="F14" s="1430"/>
      <c r="G14" s="1430"/>
      <c r="H14" s="1430"/>
      <c r="I14" s="1431"/>
      <c r="J14" s="1408" t="str">
        <f t="shared" si="0"/>
        <v/>
      </c>
      <c r="K14" s="2111"/>
      <c r="L14" s="2108" t="s">
        <v>876</v>
      </c>
      <c r="M14" s="2113"/>
      <c r="N14" s="2108" t="s">
        <v>877</v>
      </c>
      <c r="O14" s="2113"/>
      <c r="P14" s="2110" t="s">
        <v>2346</v>
      </c>
      <c r="Q14" s="1426"/>
      <c r="R14" s="2112" t="e">
        <f>DATE(VLOOKUP(K14,Table!$A$792:$B$801,2,0),M14,O14)</f>
        <v>#N/A</v>
      </c>
      <c r="S14" s="217"/>
      <c r="T14" s="242"/>
      <c r="U14" s="241"/>
      <c r="V14" s="241"/>
    </row>
    <row r="15" spans="1:22" s="245" customFormat="1" ht="30" customHeight="1">
      <c r="A15" s="3"/>
      <c r="B15" s="1066"/>
      <c r="C15" s="1409"/>
      <c r="D15" s="1410"/>
      <c r="E15" s="1411"/>
      <c r="F15" s="1411"/>
      <c r="G15" s="1411"/>
      <c r="H15" s="1411"/>
      <c r="I15" s="1412"/>
      <c r="J15" s="1413"/>
      <c r="K15" s="1414"/>
      <c r="L15" s="1415"/>
      <c r="M15" s="1415"/>
      <c r="N15" s="1415"/>
      <c r="O15" s="1415"/>
      <c r="P15" s="1415"/>
      <c r="Q15" s="1411"/>
      <c r="R15" s="217"/>
      <c r="S15" s="217"/>
      <c r="T15" s="242"/>
      <c r="U15" s="241"/>
      <c r="V15" s="241"/>
    </row>
    <row r="16" spans="1:22" s="247" customFormat="1" ht="15" customHeight="1">
      <c r="A16" s="244"/>
      <c r="B16" s="244"/>
      <c r="C16" s="245" t="s">
        <v>376</v>
      </c>
      <c r="D16" s="245"/>
      <c r="J16" s="93"/>
      <c r="K16" s="49"/>
      <c r="L16" s="89"/>
      <c r="M16" s="89"/>
      <c r="N16" s="89"/>
      <c r="O16" s="89"/>
      <c r="P16" s="89"/>
      <c r="R16" s="217" t="s">
        <v>888</v>
      </c>
      <c r="S16" s="217"/>
      <c r="T16" s="248"/>
      <c r="U16" s="248"/>
      <c r="V16" s="246"/>
    </row>
    <row r="17" spans="1:24" s="245" customFormat="1" ht="15" customHeight="1">
      <c r="A17" s="241"/>
      <c r="C17" s="244"/>
      <c r="D17" s="72"/>
      <c r="E17" s="246"/>
      <c r="F17" s="246"/>
      <c r="G17" s="246"/>
      <c r="H17" s="246"/>
      <c r="I17" s="246"/>
      <c r="J17" s="94"/>
      <c r="K17" s="72"/>
      <c r="L17" s="115"/>
      <c r="M17" s="115"/>
      <c r="N17" s="115"/>
      <c r="O17" s="115"/>
      <c r="P17" s="115"/>
      <c r="Q17" s="246"/>
      <c r="R17" s="986" t="s">
        <v>1090</v>
      </c>
      <c r="S17" s="986" t="s">
        <v>1091</v>
      </c>
      <c r="T17" s="246"/>
      <c r="U17" s="246"/>
      <c r="V17" s="242"/>
    </row>
    <row r="18" spans="1:24" ht="15" customHeight="1">
      <c r="B18" s="242"/>
      <c r="C18" s="82" t="s">
        <v>379</v>
      </c>
      <c r="D18" s="58" t="s">
        <v>861</v>
      </c>
      <c r="E18" s="58"/>
      <c r="F18" s="58"/>
      <c r="G18" s="58"/>
      <c r="H18" s="58"/>
      <c r="I18" s="58"/>
      <c r="J18" s="893" t="str">
        <f>IF(K18="","※","")</f>
        <v>※</v>
      </c>
      <c r="K18" s="984"/>
      <c r="L18" s="2114" t="s">
        <v>680</v>
      </c>
      <c r="M18" s="2106"/>
      <c r="N18" s="2106"/>
      <c r="O18" s="2106"/>
      <c r="P18" s="2106"/>
      <c r="Q18" s="249"/>
      <c r="R18" s="894"/>
      <c r="S18" s="987"/>
      <c r="U18" s="242"/>
      <c r="V18" s="242"/>
    </row>
    <row r="19" spans="1:24" ht="15" customHeight="1">
      <c r="B19" s="242"/>
      <c r="C19" s="60" t="s">
        <v>372</v>
      </c>
      <c r="D19" s="29" t="s">
        <v>1747</v>
      </c>
      <c r="E19" s="29"/>
      <c r="F19" s="29"/>
      <c r="G19" s="29"/>
      <c r="H19" s="29"/>
      <c r="I19" s="29"/>
      <c r="J19" s="891" t="str">
        <f>IF(K19="","※","")</f>
        <v>※</v>
      </c>
      <c r="K19" s="985"/>
      <c r="L19" s="2115" t="s">
        <v>680</v>
      </c>
      <c r="M19" s="115"/>
      <c r="N19" s="115"/>
      <c r="O19" s="115"/>
      <c r="P19" s="115"/>
      <c r="Q19" s="250"/>
      <c r="R19" s="895"/>
      <c r="S19" s="988"/>
      <c r="U19" s="242"/>
      <c r="V19" s="242"/>
    </row>
    <row r="20" spans="1:24" ht="15" customHeight="1">
      <c r="B20" s="242"/>
      <c r="C20" s="60" t="s">
        <v>1702</v>
      </c>
      <c r="D20" s="29" t="s">
        <v>1715</v>
      </c>
      <c r="E20" s="29"/>
      <c r="F20" s="1433"/>
      <c r="G20" s="1433"/>
      <c r="H20" s="1433"/>
      <c r="I20" s="1433"/>
      <c r="J20" s="1476" t="str">
        <f>IF(K7="","",IF(AND(K7="No",K20=""),"※",IF(AND(K7="Yes",K20&lt;&gt;""),"入力不要","")))</f>
        <v/>
      </c>
      <c r="K20" s="985"/>
      <c r="L20" s="2115" t="s">
        <v>680</v>
      </c>
      <c r="M20" s="115"/>
      <c r="N20" s="115"/>
      <c r="O20" s="115"/>
      <c r="P20" s="115"/>
      <c r="Q20" s="1434"/>
      <c r="R20" s="895"/>
      <c r="S20" s="988"/>
      <c r="U20" s="242"/>
      <c r="V20" s="242"/>
    </row>
    <row r="21" spans="1:24" ht="15" customHeight="1">
      <c r="B21" s="242"/>
      <c r="C21" s="60" t="s">
        <v>1703</v>
      </c>
      <c r="D21" s="29" t="s">
        <v>1917</v>
      </c>
      <c r="E21" s="66"/>
      <c r="F21" s="1433"/>
      <c r="G21" s="1433"/>
      <c r="H21" s="1433"/>
      <c r="I21" s="1433"/>
      <c r="J21" s="891" t="str">
        <f>IF(K21="","※","")</f>
        <v>※</v>
      </c>
      <c r="K21" s="146"/>
      <c r="L21" s="2115" t="s">
        <v>1704</v>
      </c>
      <c r="M21" s="115"/>
      <c r="N21" s="115"/>
      <c r="O21" s="115"/>
      <c r="P21" s="115"/>
      <c r="Q21" s="1434"/>
      <c r="R21" s="1432"/>
      <c r="S21" s="988"/>
      <c r="U21" s="242"/>
      <c r="V21" s="242"/>
    </row>
    <row r="22" spans="1:24" ht="15" customHeight="1">
      <c r="B22" s="242"/>
      <c r="C22" s="60" t="s">
        <v>131</v>
      </c>
      <c r="D22" s="66" t="s">
        <v>681</v>
      </c>
      <c r="E22" s="66"/>
      <c r="F22" s="66"/>
      <c r="G22" s="66"/>
      <c r="H22" s="66"/>
      <c r="I22" s="66"/>
      <c r="J22" s="216"/>
      <c r="K22" s="66"/>
      <c r="L22" s="442"/>
      <c r="M22" s="442"/>
      <c r="N22" s="442"/>
      <c r="O22" s="442"/>
      <c r="P22" s="442"/>
      <c r="Q22" s="250"/>
      <c r="R22" s="896"/>
      <c r="S22" s="989"/>
      <c r="U22" s="242"/>
      <c r="V22" s="242"/>
    </row>
    <row r="23" spans="1:24" ht="15" customHeight="1">
      <c r="B23" s="242"/>
      <c r="C23" s="60"/>
      <c r="D23" s="65" t="s">
        <v>676</v>
      </c>
      <c r="E23" s="66" t="s">
        <v>344</v>
      </c>
      <c r="F23" s="66"/>
      <c r="G23" s="66"/>
      <c r="H23" s="66"/>
      <c r="I23" s="251"/>
      <c r="J23" s="170" t="str">
        <f>IF(K19=0,"",IF(K23="","※",IF(OR(K23=K24,K23=K25,K23=K26,K23=K27)=TRUE,"E","")))</f>
        <v/>
      </c>
      <c r="K23" s="208"/>
      <c r="L23" s="215"/>
      <c r="M23" s="442"/>
      <c r="N23" s="442"/>
      <c r="O23" s="442"/>
      <c r="P23" s="442"/>
      <c r="Q23" s="250"/>
      <c r="R23" s="897" t="str">
        <f>IF(J23="E","上に詰めてください",IF(J23="E ","理由が重複しています",""))</f>
        <v/>
      </c>
      <c r="S23" s="990"/>
      <c r="T23" s="1477" t="str">
        <f t="shared" ref="T23:T29" si="1">R23</f>
        <v/>
      </c>
      <c r="U23" s="242"/>
      <c r="X23" s="242"/>
    </row>
    <row r="24" spans="1:24" ht="15" customHeight="1">
      <c r="B24" s="242"/>
      <c r="C24" s="60"/>
      <c r="D24" s="101"/>
      <c r="E24" s="59" t="s">
        <v>345</v>
      </c>
      <c r="F24" s="59"/>
      <c r="G24" s="59"/>
      <c r="H24" s="59"/>
      <c r="I24" s="252"/>
      <c r="J24" s="170" t="str">
        <f>IF(AND(OR(K23="")=TRUE,K24&lt;&gt;"")=TRUE,"E",IF(K24="","",IF(OR(K24=K23,K24=K25,K24=K26,K24=K27)=TRUE,"E ","")))</f>
        <v/>
      </c>
      <c r="K24" s="208"/>
      <c r="L24" s="215"/>
      <c r="M24" s="442"/>
      <c r="N24" s="442"/>
      <c r="O24" s="442"/>
      <c r="P24" s="442"/>
      <c r="Q24" s="250"/>
      <c r="R24" s="897" t="str">
        <f>IF(J24="E","上に詰めてください",IF(J24="E ","理由が重複しています",""))</f>
        <v/>
      </c>
      <c r="S24" s="990"/>
      <c r="T24" s="1477" t="str">
        <f t="shared" si="1"/>
        <v/>
      </c>
      <c r="U24" s="242"/>
      <c r="X24" s="242"/>
    </row>
    <row r="25" spans="1:24" ht="15" customHeight="1">
      <c r="B25" s="242"/>
      <c r="C25" s="60"/>
      <c r="D25" s="101"/>
      <c r="E25" s="59" t="s">
        <v>346</v>
      </c>
      <c r="F25" s="59"/>
      <c r="G25" s="59"/>
      <c r="H25" s="59"/>
      <c r="I25" s="252"/>
      <c r="J25" s="170" t="str">
        <f>IF(AND(OR(K23="",K24="")=TRUE,K25&lt;&gt;"")=TRUE,"E",IF(K25="","",IF(OR(K25=K24,K25=K23,K25=K26,K25=K27)=TRUE,"E ","")))</f>
        <v/>
      </c>
      <c r="K25" s="208"/>
      <c r="L25" s="215"/>
      <c r="M25" s="442"/>
      <c r="N25" s="442"/>
      <c r="O25" s="442"/>
      <c r="P25" s="442"/>
      <c r="Q25" s="250"/>
      <c r="R25" s="897" t="str">
        <f>IF(J25="E","上に詰めてください",IF(J25="E ","理由が重複しています",""))</f>
        <v/>
      </c>
      <c r="S25" s="990"/>
      <c r="T25" s="1477" t="str">
        <f t="shared" si="1"/>
        <v/>
      </c>
      <c r="U25" s="242"/>
      <c r="X25" s="242"/>
    </row>
    <row r="26" spans="1:24" ht="15" customHeight="1">
      <c r="B26" s="242"/>
      <c r="C26" s="60"/>
      <c r="D26" s="101"/>
      <c r="E26" s="59" t="s">
        <v>348</v>
      </c>
      <c r="F26" s="59"/>
      <c r="G26" s="59"/>
      <c r="H26" s="59"/>
      <c r="I26" s="252"/>
      <c r="J26" s="170" t="str">
        <f>IF(AND(OR(K23="",K24="",K25="")=TRUE,K26&lt;&gt;"")=TRUE,"E",IF(K26="","",IF(OR(K26=K25,K26=K24,K26=K23,K26=K27)=TRUE,"E ","")))</f>
        <v/>
      </c>
      <c r="K26" s="208"/>
      <c r="L26" s="215"/>
      <c r="M26" s="442"/>
      <c r="N26" s="442"/>
      <c r="O26" s="442"/>
      <c r="P26" s="442"/>
      <c r="Q26" s="250"/>
      <c r="R26" s="897" t="str">
        <f>IF(J26="E","上に詰めてください",IF(J26="E ","理由が重複しています",""))</f>
        <v/>
      </c>
      <c r="S26" s="990"/>
      <c r="T26" s="1477" t="str">
        <f t="shared" si="1"/>
        <v/>
      </c>
      <c r="U26" s="242"/>
      <c r="X26" s="242"/>
    </row>
    <row r="27" spans="1:24" ht="15" customHeight="1">
      <c r="B27" s="242"/>
      <c r="C27" s="60"/>
      <c r="D27" s="61"/>
      <c r="E27" s="27"/>
      <c r="F27" s="27"/>
      <c r="G27" s="27"/>
      <c r="H27" s="27"/>
      <c r="I27" s="253"/>
      <c r="J27" s="170" t="str">
        <f>IF(AND(OR(K23="",K24="",K25="",K26="")=TRUE,K27&lt;&gt;"")=TRUE,"E",IF(K27="","",IF(OR(K27=K26,K27=K25,K27=K24,K27=K23)=TRUE,"E ","")))</f>
        <v/>
      </c>
      <c r="K27" s="208"/>
      <c r="L27" s="215"/>
      <c r="M27" s="442"/>
      <c r="N27" s="442"/>
      <c r="O27" s="442"/>
      <c r="P27" s="442"/>
      <c r="Q27" s="250"/>
      <c r="R27" s="897" t="str">
        <f>IF(J27="E","上に詰めてください",IF(J27="E ","理由が重複しています",""))</f>
        <v/>
      </c>
      <c r="S27" s="990"/>
      <c r="T27" s="1477" t="str">
        <f t="shared" si="1"/>
        <v/>
      </c>
      <c r="U27" s="242"/>
      <c r="X27" s="242"/>
    </row>
    <row r="28" spans="1:24" ht="15" customHeight="1">
      <c r="B28" s="242"/>
      <c r="C28" s="60"/>
      <c r="D28" s="62" t="s">
        <v>677</v>
      </c>
      <c r="E28" s="29" t="s">
        <v>130</v>
      </c>
      <c r="F28" s="29"/>
      <c r="G28" s="29"/>
      <c r="H28" s="29"/>
      <c r="I28" s="63" t="s">
        <v>349</v>
      </c>
      <c r="J28" s="889" t="str">
        <f>IF(K28&lt;&gt;"",IF(AND(K23&lt;&gt;"その他",K24&lt;&gt;"その他",K25&lt;&gt;"その他",K26&lt;&gt;"その他",K27&lt;&gt;"その他")=TRUE,"E",""),IF(OR(K23="その他",K24="その他",K25="その他",K26="その他",K27="その他")=TRUE,"※",""))</f>
        <v/>
      </c>
      <c r="K28" s="114"/>
      <c r="L28" s="215"/>
      <c r="M28" s="442"/>
      <c r="N28" s="442"/>
      <c r="O28" s="442"/>
      <c r="P28" s="442"/>
      <c r="Q28" s="84"/>
      <c r="R28" s="898" t="str">
        <f>IF(J28="E","５．その他を選んで下さい",IF(J28="※","具体的に記述して下さい",""))</f>
        <v/>
      </c>
      <c r="S28" s="991"/>
      <c r="T28" s="1477" t="str">
        <f t="shared" si="1"/>
        <v/>
      </c>
    </row>
    <row r="29" spans="1:24" ht="15" customHeight="1">
      <c r="B29" s="242"/>
      <c r="C29" s="60" t="s">
        <v>133</v>
      </c>
      <c r="D29" s="27" t="s">
        <v>132</v>
      </c>
      <c r="E29" s="27"/>
      <c r="F29" s="27"/>
      <c r="G29" s="27"/>
      <c r="H29" s="27"/>
      <c r="I29" s="27"/>
      <c r="J29" s="890" t="str">
        <f>IF(K29&lt;0,"E","")</f>
        <v/>
      </c>
      <c r="K29" s="171">
        <f>R48-S48</f>
        <v>0</v>
      </c>
      <c r="L29" s="215" t="s">
        <v>680</v>
      </c>
      <c r="M29" s="442"/>
      <c r="N29" s="442"/>
      <c r="O29" s="442"/>
      <c r="P29" s="442"/>
      <c r="Q29" s="250"/>
      <c r="R29" s="899" t="str">
        <f>IF(J29="E","休日の内訳を確認して下さい。","")</f>
        <v/>
      </c>
      <c r="S29" s="992"/>
      <c r="T29" s="1478" t="str">
        <f t="shared" si="1"/>
        <v/>
      </c>
      <c r="U29" s="242"/>
      <c r="W29" s="87"/>
      <c r="X29" s="242"/>
    </row>
    <row r="30" spans="1:24" ht="15" customHeight="1">
      <c r="B30" s="242"/>
      <c r="C30" s="60" t="s">
        <v>140</v>
      </c>
      <c r="D30" s="29" t="s">
        <v>134</v>
      </c>
      <c r="E30" s="29"/>
      <c r="F30" s="29"/>
      <c r="G30" s="29"/>
      <c r="H30" s="29"/>
      <c r="I30" s="29"/>
      <c r="J30" s="168"/>
      <c r="K30" s="29"/>
      <c r="L30" s="442"/>
      <c r="M30" s="442"/>
      <c r="N30" s="442"/>
      <c r="O30" s="442"/>
      <c r="P30" s="442"/>
      <c r="Q30" s="250"/>
      <c r="R30" s="900"/>
      <c r="S30" s="989"/>
      <c r="T30" s="1477"/>
    </row>
    <row r="31" spans="1:24" ht="15" customHeight="1">
      <c r="B31" s="242"/>
      <c r="C31" s="64"/>
      <c r="D31" s="65" t="s">
        <v>676</v>
      </c>
      <c r="E31" s="66" t="s">
        <v>350</v>
      </c>
      <c r="F31" s="66"/>
      <c r="G31" s="66"/>
      <c r="H31" s="66"/>
      <c r="I31" s="66"/>
      <c r="J31" s="891" t="str">
        <f>IF(K31="","※","")</f>
        <v>※</v>
      </c>
      <c r="K31" s="146"/>
      <c r="L31" s="215" t="s">
        <v>680</v>
      </c>
      <c r="M31" s="442"/>
      <c r="N31" s="442"/>
      <c r="O31" s="442"/>
      <c r="P31" s="442"/>
      <c r="Q31" s="250"/>
      <c r="R31" s="901" t="s">
        <v>1078</v>
      </c>
      <c r="S31" s="993"/>
      <c r="T31" s="1477"/>
    </row>
    <row r="32" spans="1:24" ht="15" customHeight="1">
      <c r="B32" s="242"/>
      <c r="C32" s="64"/>
      <c r="D32" s="101"/>
      <c r="E32" s="59"/>
      <c r="F32" s="59"/>
      <c r="G32" s="59"/>
      <c r="H32" s="59"/>
      <c r="I32" s="59" t="s">
        <v>351</v>
      </c>
      <c r="J32" s="891" t="str">
        <f>IF(K32="","※","")</f>
        <v>※</v>
      </c>
      <c r="K32" s="114"/>
      <c r="L32" s="215" t="s">
        <v>352</v>
      </c>
      <c r="M32" s="442"/>
      <c r="N32" s="442"/>
      <c r="O32" s="442"/>
      <c r="P32" s="442"/>
      <c r="Q32" s="250"/>
      <c r="R32" s="901"/>
      <c r="S32" s="993"/>
      <c r="T32" s="1477"/>
    </row>
    <row r="33" spans="1:22" s="242" customFormat="1" ht="15" customHeight="1">
      <c r="A33" s="254"/>
      <c r="B33" s="255"/>
      <c r="C33" s="67"/>
      <c r="D33" s="68" t="s">
        <v>677</v>
      </c>
      <c r="E33" s="69" t="s">
        <v>353</v>
      </c>
      <c r="F33" s="69"/>
      <c r="G33" s="66"/>
      <c r="H33" s="66"/>
      <c r="I33" s="66"/>
      <c r="J33" s="891" t="str">
        <f>IF(K33="","※",IF(K33&lt;K34,"E",""))</f>
        <v>※</v>
      </c>
      <c r="K33" s="147"/>
      <c r="L33" s="2116" t="s">
        <v>680</v>
      </c>
      <c r="M33" s="214"/>
      <c r="N33" s="214"/>
      <c r="O33" s="214"/>
      <c r="P33" s="214"/>
      <c r="Q33" s="250"/>
      <c r="R33" s="901" t="s">
        <v>1078</v>
      </c>
      <c r="S33" s="993"/>
      <c r="T33" s="1477" t="str">
        <f>IF(J33="E","祝日休を確認して下さい。","")</f>
        <v/>
      </c>
      <c r="V33" s="241"/>
    </row>
    <row r="34" spans="1:22" s="242" customFormat="1" ht="15" customHeight="1">
      <c r="A34" s="254"/>
      <c r="B34" s="255"/>
      <c r="C34" s="67"/>
      <c r="D34" s="213"/>
      <c r="E34" s="71"/>
      <c r="F34" s="59" t="s">
        <v>354</v>
      </c>
      <c r="G34" s="59"/>
      <c r="H34" s="59"/>
      <c r="I34" s="71"/>
      <c r="J34" s="891" t="str">
        <f>IF(K34="","※",IF(K33&lt;K34,"E",""))</f>
        <v>※</v>
      </c>
      <c r="K34" s="147"/>
      <c r="L34" s="215" t="s">
        <v>135</v>
      </c>
      <c r="M34" s="442"/>
      <c r="N34" s="442"/>
      <c r="O34" s="442"/>
      <c r="P34" s="442"/>
      <c r="Q34" s="250"/>
      <c r="R34" s="901"/>
      <c r="S34" s="993" t="s">
        <v>1092</v>
      </c>
      <c r="T34" s="1007" t="str">
        <f>IF(K33&lt;K34,"日曜休・土曜休を確認して下さい。","")</f>
        <v/>
      </c>
    </row>
    <row r="35" spans="1:22" s="242" customFormat="1" ht="15" customHeight="1">
      <c r="A35" s="254"/>
      <c r="B35" s="255"/>
      <c r="C35" s="67"/>
      <c r="D35" s="68" t="s">
        <v>136</v>
      </c>
      <c r="E35" s="69" t="s">
        <v>355</v>
      </c>
      <c r="F35" s="69"/>
      <c r="G35" s="66"/>
      <c r="H35" s="66"/>
      <c r="I35" s="66"/>
      <c r="J35" s="891" t="str">
        <f>IF(K35="","※",IF(K35&lt;K36,"E",""))</f>
        <v>※</v>
      </c>
      <c r="K35" s="147"/>
      <c r="L35" s="2116" t="s">
        <v>680</v>
      </c>
      <c r="M35" s="214"/>
      <c r="N35" s="214"/>
      <c r="O35" s="214"/>
      <c r="P35" s="214"/>
      <c r="Q35" s="250"/>
      <c r="R35" s="901" t="s">
        <v>1078</v>
      </c>
      <c r="S35" s="993"/>
      <c r="T35" s="1007" t="str">
        <f>IF(J35="E","年末年始を確認して下さい。","")</f>
        <v/>
      </c>
    </row>
    <row r="36" spans="1:22" s="242" customFormat="1" ht="15" customHeight="1">
      <c r="A36" s="254"/>
      <c r="B36" s="255"/>
      <c r="C36" s="67"/>
      <c r="D36" s="213"/>
      <c r="E36" s="71"/>
      <c r="F36" s="71" t="s">
        <v>188</v>
      </c>
      <c r="G36" s="59"/>
      <c r="H36" s="59"/>
      <c r="I36" s="59"/>
      <c r="J36" s="891" t="str">
        <f>IF(K36="","※",IF(K35&lt;K36,"E",""))</f>
        <v>※</v>
      </c>
      <c r="K36" s="147"/>
      <c r="L36" s="215" t="s">
        <v>135</v>
      </c>
      <c r="M36" s="442"/>
      <c r="N36" s="442"/>
      <c r="O36" s="442"/>
      <c r="P36" s="442"/>
      <c r="Q36" s="250"/>
      <c r="R36" s="901"/>
      <c r="S36" s="993" t="s">
        <v>1092</v>
      </c>
      <c r="T36" s="1007" t="str">
        <f>IF(K35&lt;K36,"日曜休・土曜休を確認して下さい。","")</f>
        <v/>
      </c>
    </row>
    <row r="37" spans="1:22" s="242" customFormat="1" ht="15" customHeight="1">
      <c r="A37" s="254"/>
      <c r="B37" s="255"/>
      <c r="C37" s="67"/>
      <c r="D37" s="68" t="s">
        <v>137</v>
      </c>
      <c r="E37" s="69" t="s">
        <v>189</v>
      </c>
      <c r="F37" s="69"/>
      <c r="G37" s="66"/>
      <c r="H37" s="66"/>
      <c r="I37" s="66"/>
      <c r="J37" s="891" t="str">
        <f>IF(K37="","※",IF(K37&lt;K38,"E",""))</f>
        <v>※</v>
      </c>
      <c r="K37" s="147"/>
      <c r="L37" s="2116" t="s">
        <v>680</v>
      </c>
      <c r="M37" s="214"/>
      <c r="N37" s="214"/>
      <c r="O37" s="214"/>
      <c r="P37" s="214"/>
      <c r="Q37" s="250"/>
      <c r="R37" s="901" t="s">
        <v>1078</v>
      </c>
      <c r="S37" s="993"/>
      <c r="T37" s="1007" t="str">
        <f>IF(J37="E","ｺﾞｰﾙﾃﾞﾝｳｨｰｸを確認して下さい。","")</f>
        <v/>
      </c>
    </row>
    <row r="38" spans="1:22" s="242" customFormat="1" ht="15" customHeight="1">
      <c r="A38" s="254"/>
      <c r="B38" s="255"/>
      <c r="C38" s="67"/>
      <c r="D38" s="213"/>
      <c r="E38" s="71"/>
      <c r="F38" s="71" t="s">
        <v>188</v>
      </c>
      <c r="G38" s="59"/>
      <c r="H38" s="59"/>
      <c r="I38" s="59"/>
      <c r="J38" s="891" t="str">
        <f>IF(K38="","※",IF(K37&lt;K38,"E",""))</f>
        <v>※</v>
      </c>
      <c r="K38" s="147"/>
      <c r="L38" s="215" t="s">
        <v>135</v>
      </c>
      <c r="M38" s="442"/>
      <c r="N38" s="442"/>
      <c r="O38" s="442"/>
      <c r="P38" s="442"/>
      <c r="Q38" s="250"/>
      <c r="R38" s="901"/>
      <c r="S38" s="993" t="s">
        <v>1092</v>
      </c>
      <c r="T38" s="1007" t="str">
        <f>IF(J38="E","日曜休・土曜休を確認して下さい。","")</f>
        <v/>
      </c>
    </row>
    <row r="39" spans="1:22" s="242" customFormat="1" ht="15" customHeight="1">
      <c r="A39" s="254"/>
      <c r="B39" s="255"/>
      <c r="C39" s="67"/>
      <c r="D39" s="68" t="s">
        <v>138</v>
      </c>
      <c r="E39" s="69" t="s">
        <v>190</v>
      </c>
      <c r="F39" s="69"/>
      <c r="G39" s="66"/>
      <c r="H39" s="66"/>
      <c r="I39" s="66"/>
      <c r="J39" s="891" t="str">
        <f>IF(K39="","※",IF(K39&lt;K40,"E",""))</f>
        <v>※</v>
      </c>
      <c r="K39" s="147"/>
      <c r="L39" s="2116" t="s">
        <v>680</v>
      </c>
      <c r="M39" s="214"/>
      <c r="N39" s="214"/>
      <c r="O39" s="214"/>
      <c r="P39" s="214"/>
      <c r="Q39" s="250"/>
      <c r="R39" s="901" t="s">
        <v>1078</v>
      </c>
      <c r="S39" s="993"/>
      <c r="T39" s="1007" t="str">
        <f>IF(J39="E","夏休みを確認して下さい。","")</f>
        <v/>
      </c>
    </row>
    <row r="40" spans="1:22" s="242" customFormat="1" ht="15" customHeight="1">
      <c r="A40" s="254"/>
      <c r="B40" s="255"/>
      <c r="C40" s="67"/>
      <c r="D40" s="213"/>
      <c r="E40" s="71"/>
      <c r="F40" s="71" t="s">
        <v>188</v>
      </c>
      <c r="G40" s="59"/>
      <c r="H40" s="59"/>
      <c r="I40" s="59"/>
      <c r="J40" s="891" t="str">
        <f>IF(K40="","※",IF(K39&lt;K40,"E",""))</f>
        <v>※</v>
      </c>
      <c r="K40" s="147"/>
      <c r="L40" s="215" t="s">
        <v>135</v>
      </c>
      <c r="M40" s="442"/>
      <c r="N40" s="442"/>
      <c r="O40" s="442"/>
      <c r="P40" s="442"/>
      <c r="Q40" s="250"/>
      <c r="R40" s="901"/>
      <c r="S40" s="993" t="s">
        <v>1092</v>
      </c>
      <c r="T40" s="1007" t="str">
        <f>IF(J40="E","日曜休・土曜休を確認して下さい。","")</f>
        <v/>
      </c>
    </row>
    <row r="41" spans="1:22" s="242" customFormat="1" ht="15" customHeight="1">
      <c r="A41" s="254"/>
      <c r="B41" s="255"/>
      <c r="C41" s="70"/>
      <c r="D41" s="68" t="s">
        <v>139</v>
      </c>
      <c r="E41" s="69" t="s">
        <v>814</v>
      </c>
      <c r="F41" s="69"/>
      <c r="G41" s="66"/>
      <c r="H41" s="66"/>
      <c r="I41" s="66"/>
      <c r="J41" s="891" t="str">
        <f>IF(K41="","※",IF(AND(K41=0,K42&lt;&gt;"")=TRUE,"E",IF(K41&lt;K43,"E","")))</f>
        <v>※</v>
      </c>
      <c r="K41" s="2117"/>
      <c r="L41" s="2116" t="s">
        <v>680</v>
      </c>
      <c r="M41" s="214"/>
      <c r="N41" s="214"/>
      <c r="O41" s="214"/>
      <c r="P41" s="214"/>
      <c r="Q41" s="250"/>
      <c r="R41" s="901" t="s">
        <v>1078</v>
      </c>
      <c r="S41" s="993"/>
      <c r="T41" s="1007" t="str">
        <f>IF(J41="E","その他を確認して下さい。","")</f>
        <v/>
      </c>
    </row>
    <row r="42" spans="1:22" s="242" customFormat="1" ht="15" customHeight="1">
      <c r="A42" s="254"/>
      <c r="B42" s="255"/>
      <c r="C42" s="70"/>
      <c r="D42" s="71"/>
      <c r="E42" s="71"/>
      <c r="F42" s="30" t="s">
        <v>191</v>
      </c>
      <c r="G42" s="30"/>
      <c r="H42" s="27"/>
      <c r="I42" s="1019" t="str">
        <f>IF(K41&lt;&gt;"",IF(K41&gt;=1,"内容を入力して下さい。：","入力不要："),"")</f>
        <v/>
      </c>
      <c r="J42" s="891" t="str">
        <f>IF(AND(K41&lt;&gt;0,K42="")=TRUE,"※","")</f>
        <v/>
      </c>
      <c r="K42" s="2417"/>
      <c r="L42" s="2418"/>
      <c r="M42" s="2418"/>
      <c r="N42" s="2418"/>
      <c r="O42" s="2418"/>
      <c r="P42" s="2419"/>
      <c r="Q42" s="84" t="s">
        <v>192</v>
      </c>
      <c r="R42" s="901"/>
      <c r="S42" s="993"/>
    </row>
    <row r="43" spans="1:22" s="242" customFormat="1" ht="15" customHeight="1">
      <c r="A43" s="254"/>
      <c r="B43" s="255"/>
      <c r="C43" s="70"/>
      <c r="D43" s="71"/>
      <c r="E43" s="71"/>
      <c r="F43" s="69" t="s">
        <v>188</v>
      </c>
      <c r="G43" s="66"/>
      <c r="H43" s="66"/>
      <c r="I43" s="66"/>
      <c r="J43" s="891" t="str">
        <f>IF(K43="","※",IF(K41&lt;K43,"E",""))</f>
        <v>※</v>
      </c>
      <c r="K43" s="2118"/>
      <c r="L43" s="215" t="s">
        <v>135</v>
      </c>
      <c r="M43" s="442"/>
      <c r="N43" s="442"/>
      <c r="O43" s="442"/>
      <c r="P43" s="442"/>
      <c r="Q43" s="250"/>
      <c r="R43" s="901"/>
      <c r="S43" s="993" t="s">
        <v>1092</v>
      </c>
      <c r="T43" s="1007" t="str">
        <f>IF(J43="E","日曜休・土曜休を確認して下さい。","")</f>
        <v/>
      </c>
    </row>
    <row r="44" spans="1:22" s="242" customFormat="1" ht="15" customHeight="1">
      <c r="A44" s="254"/>
      <c r="B44" s="255"/>
      <c r="C44" s="83" t="s">
        <v>142</v>
      </c>
      <c r="D44" s="28" t="s">
        <v>141</v>
      </c>
      <c r="E44" s="28"/>
      <c r="F44" s="28"/>
      <c r="G44" s="28"/>
      <c r="H44" s="28"/>
      <c r="I44" s="29"/>
      <c r="J44" s="892" t="str">
        <f>IF(K44="","※","")</f>
        <v>※</v>
      </c>
      <c r="K44" s="147"/>
      <c r="L44" s="2116" t="s">
        <v>680</v>
      </c>
      <c r="M44" s="214"/>
      <c r="N44" s="214"/>
      <c r="O44" s="214"/>
      <c r="P44" s="214"/>
      <c r="Q44" s="250"/>
      <c r="R44" s="901"/>
      <c r="S44" s="993"/>
    </row>
    <row r="45" spans="1:22" s="242" customFormat="1" ht="15" customHeight="1">
      <c r="A45" s="254"/>
      <c r="B45" s="255"/>
      <c r="C45" s="83" t="s">
        <v>1705</v>
      </c>
      <c r="D45" s="28" t="s">
        <v>143</v>
      </c>
      <c r="E45" s="28"/>
      <c r="F45" s="28"/>
      <c r="G45" s="28"/>
      <c r="H45" s="28"/>
      <c r="I45" s="29"/>
      <c r="J45" s="891" t="str">
        <f>IF(K45="","※","")</f>
        <v>※</v>
      </c>
      <c r="K45" s="147"/>
      <c r="L45" s="2116" t="s">
        <v>680</v>
      </c>
      <c r="M45" s="214"/>
      <c r="N45" s="214"/>
      <c r="O45" s="214"/>
      <c r="P45" s="214"/>
      <c r="Q45" s="250"/>
      <c r="R45" s="901"/>
      <c r="S45" s="993"/>
    </row>
    <row r="46" spans="1:22" s="242" customFormat="1" ht="6" customHeight="1">
      <c r="A46" s="254"/>
      <c r="B46" s="255"/>
      <c r="C46" s="256"/>
      <c r="D46" s="257"/>
      <c r="E46" s="257"/>
      <c r="F46" s="257"/>
      <c r="G46" s="257"/>
      <c r="H46" s="258"/>
      <c r="I46" s="257"/>
      <c r="J46" s="95"/>
      <c r="K46" s="73"/>
      <c r="L46" s="116"/>
      <c r="M46" s="116"/>
      <c r="N46" s="116"/>
      <c r="O46" s="116"/>
      <c r="P46" s="116"/>
      <c r="Q46" s="259"/>
      <c r="R46" s="113"/>
      <c r="S46" s="113"/>
    </row>
    <row r="47" spans="1:22">
      <c r="R47" s="112" t="s">
        <v>1116</v>
      </c>
      <c r="S47" s="112" t="s">
        <v>1117</v>
      </c>
      <c r="V47" s="242"/>
    </row>
    <row r="48" spans="1:22">
      <c r="C48" s="217" t="s">
        <v>749</v>
      </c>
      <c r="E48" s="49"/>
      <c r="F48" s="49"/>
      <c r="G48" s="49"/>
      <c r="H48" s="49"/>
      <c r="I48" s="193"/>
      <c r="R48" s="112">
        <f>SUMIF(R31:R45,"○",K31:K45)</f>
        <v>0</v>
      </c>
      <c r="S48" s="112">
        <f>SUMIF(S31:S45,"○",K31:K45)</f>
        <v>0</v>
      </c>
    </row>
    <row r="49" spans="3:17">
      <c r="C49" s="460" t="s">
        <v>685</v>
      </c>
      <c r="D49" s="461"/>
      <c r="E49" s="461"/>
      <c r="F49" s="462"/>
      <c r="G49" s="461"/>
      <c r="H49" s="461"/>
      <c r="I49" s="463"/>
      <c r="J49" s="464"/>
      <c r="K49" s="462"/>
      <c r="L49" s="462"/>
      <c r="M49" s="2107"/>
      <c r="N49" s="2107"/>
      <c r="O49" s="2107"/>
      <c r="P49" s="2107"/>
      <c r="Q49" s="465"/>
    </row>
    <row r="50" spans="3:17" ht="13.5" customHeight="1">
      <c r="C50" s="466" t="s">
        <v>686</v>
      </c>
      <c r="D50" s="467"/>
      <c r="E50" s="467"/>
      <c r="F50" s="468"/>
      <c r="G50" s="469"/>
      <c r="H50" s="470"/>
      <c r="I50" s="471"/>
      <c r="J50" s="472"/>
      <c r="K50" s="473"/>
      <c r="L50" s="473"/>
      <c r="M50" s="473"/>
      <c r="N50" s="473"/>
      <c r="O50" s="473"/>
      <c r="P50" s="473"/>
      <c r="Q50" s="474"/>
    </row>
    <row r="51" spans="3:17">
      <c r="C51" s="475" t="s">
        <v>687</v>
      </c>
      <c r="D51" s="467"/>
      <c r="E51" s="467"/>
      <c r="F51" s="473"/>
      <c r="G51" s="467"/>
      <c r="H51" s="467"/>
      <c r="I51" s="471"/>
      <c r="J51" s="472"/>
      <c r="K51" s="473"/>
      <c r="L51" s="473"/>
      <c r="M51" s="473"/>
      <c r="N51" s="473"/>
      <c r="O51" s="473"/>
      <c r="P51" s="473"/>
      <c r="Q51" s="474"/>
    </row>
    <row r="52" spans="3:17">
      <c r="C52" s="476" t="s">
        <v>688</v>
      </c>
      <c r="D52" s="477"/>
      <c r="E52" s="477"/>
      <c r="F52" s="477"/>
      <c r="G52" s="477"/>
      <c r="H52" s="477"/>
      <c r="I52" s="477"/>
      <c r="J52" s="478"/>
      <c r="K52" s="477"/>
      <c r="L52" s="477"/>
      <c r="M52" s="477"/>
      <c r="N52" s="477"/>
      <c r="O52" s="477"/>
      <c r="P52" s="477"/>
      <c r="Q52" s="479"/>
    </row>
    <row r="53" spans="3:17">
      <c r="C53" s="480" t="s">
        <v>689</v>
      </c>
      <c r="D53" s="481"/>
      <c r="E53" s="481"/>
      <c r="F53" s="481"/>
      <c r="G53" s="481"/>
      <c r="H53" s="481"/>
      <c r="I53" s="481"/>
      <c r="J53" s="482"/>
      <c r="K53" s="481"/>
      <c r="L53" s="481"/>
      <c r="M53" s="481"/>
      <c r="N53" s="481"/>
      <c r="O53" s="481"/>
      <c r="P53" s="481"/>
      <c r="Q53" s="483"/>
    </row>
    <row r="67" spans="5:11">
      <c r="J67" s="241"/>
      <c r="K67" s="241"/>
    </row>
    <row r="69" spans="5:11">
      <c r="E69" s="74"/>
    </row>
    <row r="72" spans="5:11">
      <c r="F72" s="155"/>
    </row>
  </sheetData>
  <sheetProtection algorithmName="SHA-512" hashValue="Lzm21EtrPOTeaIUjE1L4ZMKLHbJ1mFcb6etKilNyIL74TA1jOkTXWHpi520E+cqq848BdfPcbeig+P19ro7k/g==" saltValue="AcJqk9htxtQeQVLKssFneQ==" spinCount="100000" sheet="1" objects="1" scenarios="1"/>
  <mergeCells count="4">
    <mergeCell ref="C3:E3"/>
    <mergeCell ref="F3:L3"/>
    <mergeCell ref="K8:P8"/>
    <mergeCell ref="K42:P42"/>
  </mergeCells>
  <phoneticPr fontId="4"/>
  <dataValidations xWindow="510" yWindow="255" count="7">
    <dataValidation type="whole" operator="greaterThanOrEqual" allowBlank="1" showInputMessage="1" showErrorMessage="1" sqref="K31:K41 K43:K45 K18:K19 K21" xr:uid="{00000000-0002-0000-0400-000000000000}">
      <formula1>0</formula1>
    </dataValidation>
    <dataValidation type="custom" allowBlank="1" showInputMessage="1" showErrorMessage="1" sqref="K28 K42" xr:uid="{00000000-0002-0000-0400-000001000000}">
      <formula1>TRIM(K28)&lt;&gt;""</formula1>
    </dataValidation>
    <dataValidation type="list" allowBlank="1" showInputMessage="1" showErrorMessage="1" promptTitle="想定した作業不能の要因" prompt="a.リストから選択してください。_x000a_b.「５：その他」を選択した場合、具体的に入力してください。_x000a_理由が複数あるときは、上に詰めて選択してください。_x000a_" sqref="K23:K27" xr:uid="{00000000-0002-0000-0400-000002000000}">
      <formula1>作業不能の要因</formula1>
    </dataValidation>
    <dataValidation type="list" allowBlank="1" showInputMessage="1" showErrorMessage="1" promptTitle="余裕期間の方法" prompt="余裕期間の有無にて、「Yes」と選択した場合のみ、入力してください。" sqref="K8:L8" xr:uid="{00000000-0002-0000-0400-000003000000}">
      <formula1>余裕期間</formula1>
    </dataValidation>
    <dataValidation type="list" allowBlank="1" showInputMessage="1" showErrorMessage="1" promptTitle="Yes/No" prompt="を選択してください。Yesの場合は、余裕期間の方法を入力してください。" sqref="K7" xr:uid="{00000000-0002-0000-0400-000004000000}">
      <formula1>Yes_No</formula1>
    </dataValidation>
    <dataValidation type="whole" operator="greaterThanOrEqual" allowBlank="1" showInputMessage="1" showErrorMessage="1" promptTitle="設定準備期間日数" prompt="余裕期間の有無にて、「Yes」を選択したならば、入力不要です。_x000a_「No」ならば、入力してください。" sqref="K20" xr:uid="{00000000-0002-0000-0400-000005000000}">
      <formula1>0</formula1>
    </dataValidation>
    <dataValidation type="list" allowBlank="1" showInputMessage="1" showErrorMessage="1" sqref="K9:K14" xr:uid="{314126BC-CCA0-47D2-AEB0-F61252255435}">
      <formula1>年</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ignoredErrors>
    <ignoredError sqref="J20 J34:J38 T35:T3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9CCFF"/>
  </sheetPr>
  <dimension ref="A1:S137"/>
  <sheetViews>
    <sheetView showGridLines="0" topLeftCell="A2" zoomScaleNormal="100" zoomScaleSheetLayoutView="85" workbookViewId="0"/>
  </sheetViews>
  <sheetFormatPr defaultRowHeight="12"/>
  <cols>
    <col min="1" max="1" width="1.875" style="192" customWidth="1"/>
    <col min="2" max="2" width="3.875" style="192" customWidth="1"/>
    <col min="3" max="3" width="6.875" style="717" customWidth="1"/>
    <col min="4" max="4" width="24.75" style="192" customWidth="1"/>
    <col min="5" max="5" width="8.5" style="717" customWidth="1"/>
    <col min="6" max="6" width="15.25" style="192" customWidth="1"/>
    <col min="7" max="7" width="10.125" style="717" customWidth="1"/>
    <col min="8" max="8" width="42.75" style="192" bestFit="1" customWidth="1"/>
    <col min="9" max="11" width="12.375" style="192" customWidth="1"/>
    <col min="12" max="13" width="7.125" style="192" hidden="1" customWidth="1"/>
    <col min="14" max="14" width="2.875" style="717" hidden="1" customWidth="1"/>
    <col min="15" max="15" width="5.625" style="192" hidden="1" customWidth="1"/>
    <col min="16" max="17" width="5.625" style="192" customWidth="1"/>
    <col min="18" max="18" width="2.875" style="717" customWidth="1"/>
    <col min="19" max="19" width="5.625" style="192" customWidth="1"/>
    <col min="20" max="16384" width="9" style="192"/>
  </cols>
  <sheetData>
    <row r="1" spans="1:19" ht="9.75" hidden="1" customHeight="1">
      <c r="A1" s="808" t="s">
        <v>642</v>
      </c>
      <c r="B1" s="808">
        <f>COUNTIF($C$7:$E$136,"※")</f>
        <v>0</v>
      </c>
      <c r="C1" s="809" t="s">
        <v>643</v>
      </c>
      <c r="D1" s="808"/>
      <c r="L1" s="681"/>
      <c r="M1" s="1001"/>
      <c r="N1" s="1002"/>
      <c r="O1" s="1001"/>
      <c r="P1" s="375"/>
      <c r="Q1" s="375"/>
      <c r="R1" s="810"/>
      <c r="S1" s="375"/>
    </row>
    <row r="2" spans="1:19" ht="27" customHeight="1">
      <c r="A2" s="375"/>
      <c r="B2" s="375"/>
      <c r="C2" s="810"/>
      <c r="D2" s="375"/>
      <c r="N2" s="810"/>
      <c r="O2" s="375"/>
      <c r="P2" s="375"/>
      <c r="Q2" s="375"/>
      <c r="R2" s="810"/>
      <c r="S2" s="375"/>
    </row>
    <row r="3" spans="1:19" ht="24" customHeight="1">
      <c r="A3" s="375"/>
      <c r="B3" s="2277" t="s">
        <v>707</v>
      </c>
      <c r="C3" s="2366"/>
      <c r="D3" s="2367"/>
      <c r="E3" s="2411" t="str">
        <f>IF(工事情報!G4="","",工事情報!G4)</f>
        <v/>
      </c>
      <c r="F3" s="2266"/>
      <c r="G3" s="2266"/>
      <c r="H3" s="2267"/>
      <c r="I3" s="852"/>
      <c r="J3" s="72"/>
      <c r="K3" s="115"/>
      <c r="N3" s="810"/>
      <c r="O3" s="375"/>
      <c r="P3" s="375"/>
      <c r="Q3" s="375"/>
      <c r="R3" s="810"/>
      <c r="S3" s="375"/>
    </row>
    <row r="4" spans="1:19" ht="30" customHeight="1">
      <c r="A4" s="375"/>
      <c r="B4" s="375"/>
      <c r="C4" s="810"/>
      <c r="D4" s="375"/>
      <c r="N4" s="810"/>
      <c r="O4" s="375"/>
      <c r="P4" s="375"/>
      <c r="Q4" s="375"/>
      <c r="R4" s="810"/>
      <c r="S4" s="375"/>
    </row>
    <row r="5" spans="1:19" ht="18.75" customHeight="1">
      <c r="B5" s="152" t="s">
        <v>494</v>
      </c>
    </row>
    <row r="7" spans="1:19" ht="29.25" customHeight="1">
      <c r="B7" s="2420" t="s">
        <v>500</v>
      </c>
      <c r="C7" s="2420"/>
      <c r="D7" s="2420"/>
      <c r="E7" s="718" t="str">
        <f>IF(F7="","※","")</f>
        <v/>
      </c>
      <c r="F7" s="719" t="s">
        <v>501</v>
      </c>
    </row>
    <row r="8" spans="1:19" ht="29.25" customHeight="1">
      <c r="B8" s="2435" t="s">
        <v>1543</v>
      </c>
      <c r="C8" s="2436"/>
      <c r="D8" s="2437"/>
      <c r="E8" s="718" t="str">
        <f>IF(AND(F7="有",F8=""),"※","")</f>
        <v/>
      </c>
      <c r="F8" s="719" t="s">
        <v>501</v>
      </c>
    </row>
    <row r="9" spans="1:19" ht="12" customHeight="1">
      <c r="B9" s="725"/>
      <c r="C9" s="716"/>
      <c r="D9" s="716"/>
      <c r="E9" s="726"/>
      <c r="F9"/>
      <c r="G9"/>
      <c r="H9"/>
      <c r="I9"/>
      <c r="J9"/>
      <c r="K9"/>
      <c r="L9"/>
      <c r="M9"/>
      <c r="N9" s="760"/>
      <c r="O9" s="760"/>
      <c r="P9" s="760"/>
      <c r="Q9" s="760"/>
      <c r="R9" s="760"/>
      <c r="S9" s="760"/>
    </row>
    <row r="10" spans="1:19" ht="12" customHeight="1">
      <c r="B10" s="725"/>
      <c r="C10" s="716"/>
      <c r="D10" s="716"/>
      <c r="E10" s="726"/>
      <c r="F10"/>
      <c r="G10"/>
      <c r="H10"/>
      <c r="I10"/>
      <c r="J10"/>
      <c r="K10"/>
      <c r="L10"/>
      <c r="M10"/>
      <c r="N10" s="760"/>
      <c r="O10" s="760"/>
      <c r="P10" s="760"/>
      <c r="Q10" s="760"/>
      <c r="R10" s="760"/>
      <c r="S10" s="760"/>
    </row>
    <row r="11" spans="1:19" ht="12" customHeight="1">
      <c r="B11" s="725"/>
      <c r="C11" s="716"/>
      <c r="D11" s="716"/>
      <c r="E11" s="726"/>
      <c r="F11"/>
      <c r="G11"/>
      <c r="H11"/>
      <c r="I11"/>
      <c r="J11"/>
      <c r="K11"/>
      <c r="L11"/>
      <c r="M11"/>
      <c r="N11" s="760"/>
      <c r="O11" s="760"/>
      <c r="P11" s="760"/>
      <c r="Q11" s="760"/>
      <c r="R11" s="760"/>
      <c r="S11" s="760"/>
    </row>
    <row r="12" spans="1:19" ht="12" customHeight="1">
      <c r="B12" s="725"/>
      <c r="C12" s="716"/>
      <c r="D12" s="716"/>
      <c r="E12" s="726"/>
      <c r="F12"/>
      <c r="G12"/>
      <c r="H12"/>
      <c r="I12"/>
      <c r="J12"/>
      <c r="K12"/>
      <c r="L12"/>
      <c r="M12"/>
      <c r="N12" s="760"/>
      <c r="O12" s="760"/>
      <c r="P12" s="760"/>
      <c r="Q12" s="760"/>
      <c r="R12" s="760"/>
      <c r="S12" s="760"/>
    </row>
    <row r="13" spans="1:19" ht="12" customHeight="1">
      <c r="B13" s="725"/>
      <c r="C13" s="716"/>
      <c r="D13" s="716"/>
      <c r="E13" s="726"/>
      <c r="F13"/>
      <c r="G13"/>
      <c r="H13"/>
      <c r="I13"/>
      <c r="J13"/>
      <c r="K13"/>
      <c r="L13"/>
      <c r="M13"/>
      <c r="N13" s="760"/>
      <c r="O13" s="760"/>
      <c r="P13" s="760"/>
      <c r="Q13" s="760"/>
      <c r="R13" s="760"/>
      <c r="S13" s="760"/>
    </row>
    <row r="14" spans="1:19" ht="12" customHeight="1">
      <c r="B14" s="725"/>
      <c r="C14" s="716"/>
      <c r="D14" s="716"/>
      <c r="E14" s="726"/>
      <c r="F14"/>
      <c r="G14"/>
      <c r="H14"/>
      <c r="I14"/>
      <c r="J14"/>
      <c r="K14"/>
      <c r="L14"/>
      <c r="M14"/>
      <c r="N14" s="760"/>
      <c r="O14" s="760"/>
      <c r="P14" s="760"/>
      <c r="Q14" s="760"/>
      <c r="R14" s="760"/>
      <c r="S14" s="760"/>
    </row>
    <row r="15" spans="1:19" ht="12" customHeight="1">
      <c r="B15" s="725"/>
      <c r="C15" s="716"/>
      <c r="D15" s="716"/>
      <c r="E15" s="726"/>
      <c r="F15"/>
      <c r="G15"/>
      <c r="H15"/>
      <c r="I15"/>
      <c r="J15"/>
      <c r="K15"/>
      <c r="L15"/>
      <c r="M15"/>
      <c r="N15" s="760"/>
      <c r="O15" s="760"/>
      <c r="P15" s="760"/>
      <c r="Q15" s="760"/>
      <c r="R15" s="760"/>
      <c r="S15" s="760"/>
    </row>
    <row r="16" spans="1:19" ht="12" customHeight="1">
      <c r="B16" s="725"/>
      <c r="C16" s="716"/>
      <c r="D16" s="716"/>
      <c r="E16" s="726"/>
      <c r="F16"/>
      <c r="G16"/>
      <c r="H16"/>
      <c r="I16"/>
      <c r="J16"/>
      <c r="K16"/>
      <c r="L16"/>
      <c r="M16"/>
      <c r="N16" s="760"/>
      <c r="O16" s="760"/>
      <c r="P16" s="760"/>
      <c r="Q16" s="760"/>
      <c r="R16" s="760"/>
      <c r="S16" s="760"/>
    </row>
    <row r="17" spans="2:19" ht="12" customHeight="1">
      <c r="B17" s="725"/>
      <c r="C17" s="716"/>
      <c r="D17" s="716"/>
      <c r="E17" s="726"/>
      <c r="F17"/>
      <c r="G17"/>
      <c r="H17"/>
      <c r="I17"/>
      <c r="J17"/>
      <c r="K17"/>
      <c r="L17"/>
      <c r="M17"/>
      <c r="N17" s="760"/>
      <c r="O17" s="760"/>
      <c r="P17" s="760"/>
      <c r="Q17" s="760"/>
      <c r="R17" s="760"/>
      <c r="S17" s="760"/>
    </row>
    <row r="18" spans="2:19" ht="12" customHeight="1">
      <c r="B18" s="725"/>
      <c r="C18" s="716"/>
      <c r="D18" s="716"/>
      <c r="E18" s="726"/>
      <c r="F18"/>
      <c r="G18"/>
      <c r="H18"/>
      <c r="I18"/>
      <c r="J18"/>
      <c r="K18"/>
      <c r="L18"/>
      <c r="M18"/>
      <c r="N18" s="760"/>
      <c r="O18" s="760"/>
      <c r="P18" s="760"/>
      <c r="Q18" s="760"/>
      <c r="R18" s="760"/>
      <c r="S18" s="760"/>
    </row>
    <row r="19" spans="2:19" ht="12" customHeight="1">
      <c r="B19" s="725"/>
      <c r="C19" s="716"/>
      <c r="D19" s="716"/>
      <c r="E19" s="726"/>
      <c r="F19"/>
      <c r="G19"/>
      <c r="H19"/>
      <c r="I19"/>
      <c r="J19"/>
      <c r="K19"/>
      <c r="L19"/>
      <c r="M19"/>
      <c r="N19" s="760"/>
      <c r="O19" s="760"/>
      <c r="P19" s="760"/>
      <c r="Q19" s="760"/>
      <c r="R19" s="760"/>
      <c r="S19" s="760"/>
    </row>
    <row r="20" spans="2:19" ht="12" customHeight="1">
      <c r="B20" s="725"/>
      <c r="C20" s="716"/>
      <c r="D20" s="716"/>
      <c r="E20" s="726"/>
      <c r="F20"/>
      <c r="G20"/>
      <c r="H20"/>
      <c r="I20"/>
      <c r="J20"/>
      <c r="K20"/>
      <c r="L20"/>
      <c r="M20"/>
      <c r="N20" s="760"/>
      <c r="O20" s="760"/>
      <c r="P20" s="760"/>
      <c r="Q20" s="760"/>
      <c r="R20" s="760"/>
      <c r="S20" s="760"/>
    </row>
    <row r="21" spans="2:19" ht="12" customHeight="1">
      <c r="B21" s="725"/>
      <c r="C21" s="716"/>
      <c r="D21" s="716"/>
      <c r="E21" s="726"/>
      <c r="F21"/>
      <c r="G21"/>
      <c r="H21"/>
      <c r="I21"/>
      <c r="J21"/>
      <c r="K21"/>
      <c r="L21"/>
      <c r="M21"/>
      <c r="N21" s="760"/>
      <c r="O21" s="760"/>
      <c r="P21" s="760"/>
      <c r="Q21" s="760"/>
      <c r="R21" s="760"/>
      <c r="S21" s="760"/>
    </row>
    <row r="22" spans="2:19" ht="12" customHeight="1">
      <c r="B22" s="725"/>
      <c r="C22" s="716"/>
      <c r="D22" s="716"/>
      <c r="E22" s="726"/>
      <c r="F22"/>
      <c r="G22"/>
      <c r="H22"/>
      <c r="I22"/>
      <c r="J22"/>
      <c r="K22"/>
      <c r="L22"/>
      <c r="M22"/>
      <c r="N22" s="760"/>
      <c r="O22" s="760"/>
      <c r="P22" s="760"/>
      <c r="Q22" s="760"/>
      <c r="R22" s="760"/>
      <c r="S22" s="760"/>
    </row>
    <row r="23" spans="2:19" ht="12" customHeight="1">
      <c r="B23" s="725"/>
      <c r="C23" s="716"/>
      <c r="D23" s="716"/>
      <c r="E23" s="726"/>
      <c r="F23"/>
      <c r="G23"/>
      <c r="H23"/>
      <c r="I23"/>
      <c r="J23"/>
      <c r="K23"/>
      <c r="L23"/>
      <c r="M23"/>
      <c r="N23" s="760"/>
      <c r="O23" s="760"/>
      <c r="P23" s="760"/>
      <c r="Q23" s="760"/>
      <c r="R23" s="760"/>
      <c r="S23" s="760"/>
    </row>
    <row r="24" spans="2:19" ht="12" customHeight="1">
      <c r="B24" s="720" t="str">
        <f>IF(F7="有","以下の項目について入力してください。",IF(F7="無","以降の入力は不要です。",""))</f>
        <v>以下の項目について入力してください。</v>
      </c>
      <c r="C24" s="192"/>
      <c r="E24" s="434"/>
      <c r="F24" s="433"/>
      <c r="I24"/>
      <c r="J24"/>
      <c r="K24"/>
      <c r="L24"/>
      <c r="M24"/>
      <c r="N24" s="760"/>
      <c r="O24" s="760"/>
      <c r="P24" s="760"/>
      <c r="Q24" s="760"/>
      <c r="R24" s="760"/>
      <c r="S24" s="760"/>
    </row>
    <row r="25" spans="2:19" ht="39" customHeight="1">
      <c r="B25" s="2420" t="s">
        <v>515</v>
      </c>
      <c r="C25" s="2420"/>
      <c r="D25" s="2420"/>
      <c r="E25" s="718" t="str">
        <f>IF(AND($F$7="有",F25=""),"※","")</f>
        <v/>
      </c>
      <c r="F25" s="721">
        <v>3</v>
      </c>
      <c r="G25" s="722" t="s">
        <v>513</v>
      </c>
      <c r="I25"/>
      <c r="J25"/>
      <c r="K25"/>
      <c r="L25"/>
      <c r="M25"/>
      <c r="N25" s="760"/>
      <c r="O25" s="760"/>
      <c r="P25" s="760"/>
      <c r="Q25" s="760"/>
      <c r="R25" s="760"/>
      <c r="S25" s="760"/>
    </row>
    <row r="26" spans="2:19" ht="14.25" customHeight="1">
      <c r="B26" s="727"/>
      <c r="N26" s="806"/>
      <c r="O26" s="194"/>
      <c r="P26" s="194"/>
      <c r="Q26" s="194"/>
      <c r="R26" s="806"/>
      <c r="S26" s="194"/>
    </row>
    <row r="27" spans="2:19" ht="12.75" customHeight="1">
      <c r="B27" s="728" t="s">
        <v>381</v>
      </c>
      <c r="N27" s="806"/>
      <c r="O27" s="194"/>
      <c r="P27" s="194"/>
      <c r="Q27" s="194"/>
      <c r="R27" s="806"/>
      <c r="S27" s="194"/>
    </row>
    <row r="28" spans="2:19" ht="12.75" customHeight="1">
      <c r="B28" s="729" t="s">
        <v>382</v>
      </c>
      <c r="N28" s="806"/>
      <c r="O28" s="194"/>
      <c r="P28" s="194"/>
      <c r="Q28" s="194"/>
      <c r="R28" s="806"/>
      <c r="S28" s="194"/>
    </row>
    <row r="29" spans="2:19" ht="12.75" customHeight="1">
      <c r="B29" s="728" t="s">
        <v>383</v>
      </c>
      <c r="N29" s="806"/>
      <c r="O29" s="194"/>
      <c r="P29" s="194"/>
      <c r="Q29" s="194"/>
      <c r="R29" s="806"/>
      <c r="S29" s="194"/>
    </row>
    <row r="30" spans="2:19" ht="12.75" customHeight="1">
      <c r="B30" s="728" t="s">
        <v>384</v>
      </c>
      <c r="N30" s="806"/>
      <c r="O30" s="194"/>
      <c r="P30" s="194"/>
      <c r="Q30" s="194"/>
      <c r="R30" s="806"/>
      <c r="S30" s="194"/>
    </row>
    <row r="31" spans="2:19" ht="12.75" customHeight="1">
      <c r="B31" s="729"/>
      <c r="I31" s="730"/>
      <c r="N31" s="806"/>
      <c r="O31" s="194"/>
      <c r="P31" s="194"/>
      <c r="Q31" s="194"/>
      <c r="R31" s="806"/>
      <c r="S31" s="194"/>
    </row>
    <row r="32" spans="2:19" ht="12.75" customHeight="1">
      <c r="B32" s="729"/>
      <c r="I32" s="730"/>
      <c r="N32" s="806"/>
      <c r="O32" s="194"/>
      <c r="P32" s="194"/>
      <c r="Q32" s="194"/>
      <c r="R32" s="806"/>
      <c r="S32" s="194"/>
    </row>
    <row r="33" spans="1:19" ht="18" customHeight="1">
      <c r="B33" s="727" t="str">
        <f>IF(F7="有","上記設問1で入力した施工箇所数の詳細について以下の項目を入力してください。",IF(F7="無","以降の入力は不要です。",""))</f>
        <v>上記設問1で入力した施工箇所数の詳細について以下の項目を入力してください。</v>
      </c>
      <c r="I33" s="730" t="str">
        <f>IF(AND(F25&lt;&gt;"",G36&lt;&gt;1),"工事費割合の合計が100％になるように入力してください。","")</f>
        <v/>
      </c>
      <c r="N33" s="806"/>
      <c r="O33" s="194"/>
      <c r="P33" s="194"/>
      <c r="Q33" s="194"/>
      <c r="R33" s="806"/>
      <c r="S33" s="194"/>
    </row>
    <row r="34" spans="1:19" ht="18.75" customHeight="1">
      <c r="A34" s="717"/>
      <c r="B34" s="2433" t="s">
        <v>385</v>
      </c>
      <c r="C34" s="2426" t="s">
        <v>641</v>
      </c>
      <c r="D34" s="2429" t="s">
        <v>386</v>
      </c>
      <c r="E34" s="2426" t="s">
        <v>387</v>
      </c>
      <c r="F34" s="2426" t="s">
        <v>388</v>
      </c>
      <c r="G34" s="2426" t="s">
        <v>389</v>
      </c>
      <c r="H34" s="2429" t="s">
        <v>390</v>
      </c>
      <c r="I34" s="2300" t="s">
        <v>144</v>
      </c>
      <c r="J34" s="2301"/>
      <c r="K34" s="2302"/>
      <c r="L34" s="2423" t="s">
        <v>657</v>
      </c>
      <c r="M34" s="2423" t="s">
        <v>1085</v>
      </c>
      <c r="N34" s="2423" t="s">
        <v>1086</v>
      </c>
      <c r="O34" s="2421"/>
      <c r="P34" s="194"/>
      <c r="Q34" s="194"/>
      <c r="R34" s="194"/>
      <c r="S34" s="194"/>
    </row>
    <row r="35" spans="1:19" s="717" customFormat="1" ht="18.75" customHeight="1">
      <c r="B35" s="2434"/>
      <c r="C35" s="2427"/>
      <c r="D35" s="2430"/>
      <c r="E35" s="2427"/>
      <c r="F35" s="2427"/>
      <c r="G35" s="2428"/>
      <c r="H35" s="2430"/>
      <c r="I35" s="2426" t="s">
        <v>391</v>
      </c>
      <c r="J35" s="2433" t="s">
        <v>497</v>
      </c>
      <c r="K35" s="2433" t="s">
        <v>392</v>
      </c>
      <c r="L35" s="2424"/>
      <c r="M35" s="2424"/>
      <c r="N35" s="2424"/>
      <c r="O35" s="2422"/>
      <c r="P35" s="806"/>
      <c r="Q35" s="806"/>
      <c r="R35" s="806"/>
      <c r="S35" s="806"/>
    </row>
    <row r="36" spans="1:19" s="717" customFormat="1" ht="18.75" customHeight="1">
      <c r="B36" s="2345"/>
      <c r="C36" s="2428"/>
      <c r="D36" s="2431"/>
      <c r="E36" s="2428"/>
      <c r="F36" s="2428"/>
      <c r="G36" s="1024">
        <f>SUM(G37:G136)</f>
        <v>1</v>
      </c>
      <c r="H36" s="2431"/>
      <c r="I36" s="2432"/>
      <c r="J36" s="2345"/>
      <c r="K36" s="2345"/>
      <c r="L36" s="2425"/>
      <c r="M36" s="2425"/>
      <c r="N36" s="2425"/>
      <c r="O36" s="2422"/>
    </row>
    <row r="37" spans="1:19" s="717" customFormat="1" ht="24" customHeight="1">
      <c r="A37" s="192"/>
      <c r="B37" s="336">
        <v>1</v>
      </c>
      <c r="C37" s="724" t="str">
        <f>IF(N37="×","",IF(M37&lt;&gt;1,"※",""))</f>
        <v/>
      </c>
      <c r="D37" s="723" t="s">
        <v>1767</v>
      </c>
      <c r="E37" s="723">
        <v>0</v>
      </c>
      <c r="F37" s="723" t="s">
        <v>1768</v>
      </c>
      <c r="G37" s="1479">
        <v>0.5</v>
      </c>
      <c r="H37" s="933" t="s">
        <v>1769</v>
      </c>
      <c r="I37" s="733" t="s">
        <v>1770</v>
      </c>
      <c r="J37" s="733" t="s">
        <v>1771</v>
      </c>
      <c r="K37" s="733" t="s">
        <v>1772</v>
      </c>
      <c r="L37" s="807">
        <f>COUNTBLANK($D37:$K37)</f>
        <v>0</v>
      </c>
      <c r="M37" s="807">
        <f t="shared" ref="M37:M100" si="0">IF(L37=0,1,IF(L37=8,2,0))</f>
        <v>1</v>
      </c>
      <c r="N37" s="807" t="str">
        <f>IF($F$25&gt;=B37,"○","×")</f>
        <v>○</v>
      </c>
      <c r="O37" s="1023"/>
    </row>
    <row r="38" spans="1:19" ht="24" customHeight="1">
      <c r="B38" s="336">
        <v>2</v>
      </c>
      <c r="C38" s="724" t="str">
        <f t="shared" ref="C38:C101" si="1">IF(N38="×","",IF(M38&lt;&gt;1,"※",""))</f>
        <v/>
      </c>
      <c r="D38" s="723" t="s">
        <v>1773</v>
      </c>
      <c r="E38" s="723">
        <v>0.5</v>
      </c>
      <c r="F38" s="723" t="s">
        <v>1768</v>
      </c>
      <c r="G38" s="731">
        <v>0.3</v>
      </c>
      <c r="H38" s="933" t="s">
        <v>1774</v>
      </c>
      <c r="I38" s="733" t="s">
        <v>1775</v>
      </c>
      <c r="J38" s="733" t="s">
        <v>1771</v>
      </c>
      <c r="K38" s="733" t="s">
        <v>1776</v>
      </c>
      <c r="L38" s="807">
        <f t="shared" ref="L38:L101" si="2">COUNTBLANK($D38:$K38)</f>
        <v>0</v>
      </c>
      <c r="M38" s="807">
        <f t="shared" si="0"/>
        <v>1</v>
      </c>
      <c r="N38" s="807" t="str">
        <f t="shared" ref="N38:N101" si="3">IF($F$25&gt;=B38,"○","×")</f>
        <v>○</v>
      </c>
      <c r="O38" s="1023"/>
      <c r="R38" s="192"/>
    </row>
    <row r="39" spans="1:19" ht="24" customHeight="1">
      <c r="B39" s="336">
        <v>3</v>
      </c>
      <c r="C39" s="724" t="str">
        <f t="shared" si="1"/>
        <v/>
      </c>
      <c r="D39" s="723" t="s">
        <v>1777</v>
      </c>
      <c r="E39" s="723">
        <v>3</v>
      </c>
      <c r="F39" s="723" t="s">
        <v>1778</v>
      </c>
      <c r="G39" s="731">
        <v>0.2</v>
      </c>
      <c r="H39" s="933" t="s">
        <v>1779</v>
      </c>
      <c r="I39" s="733" t="s">
        <v>1775</v>
      </c>
      <c r="J39" s="733" t="s">
        <v>153</v>
      </c>
      <c r="K39" s="733" t="s">
        <v>1776</v>
      </c>
      <c r="L39" s="807">
        <f t="shared" si="2"/>
        <v>0</v>
      </c>
      <c r="M39" s="807">
        <f t="shared" si="0"/>
        <v>1</v>
      </c>
      <c r="N39" s="807" t="str">
        <f t="shared" si="3"/>
        <v>○</v>
      </c>
      <c r="O39" s="1023"/>
      <c r="R39" s="192"/>
    </row>
    <row r="40" spans="1:19" ht="24" customHeight="1">
      <c r="B40" s="336">
        <v>4</v>
      </c>
      <c r="C40" s="724" t="str">
        <f t="shared" si="1"/>
        <v/>
      </c>
      <c r="D40" s="723"/>
      <c r="E40" s="723"/>
      <c r="F40" s="723"/>
      <c r="G40" s="731"/>
      <c r="H40" s="732"/>
      <c r="I40" s="805"/>
      <c r="J40" s="733"/>
      <c r="K40" s="733"/>
      <c r="L40" s="807">
        <f t="shared" si="2"/>
        <v>8</v>
      </c>
      <c r="M40" s="807">
        <f t="shared" si="0"/>
        <v>2</v>
      </c>
      <c r="N40" s="807" t="str">
        <f t="shared" si="3"/>
        <v>×</v>
      </c>
      <c r="O40" s="1023"/>
      <c r="R40" s="192"/>
    </row>
    <row r="41" spans="1:19" ht="24" customHeight="1">
      <c r="B41" s="336">
        <v>5</v>
      </c>
      <c r="C41" s="724" t="str">
        <f t="shared" si="1"/>
        <v/>
      </c>
      <c r="D41" s="723"/>
      <c r="E41" s="723"/>
      <c r="F41" s="723"/>
      <c r="G41" s="731"/>
      <c r="H41" s="732"/>
      <c r="I41" s="805"/>
      <c r="J41" s="733"/>
      <c r="K41" s="733"/>
      <c r="L41" s="807">
        <f t="shared" si="2"/>
        <v>8</v>
      </c>
      <c r="M41" s="807">
        <f t="shared" si="0"/>
        <v>2</v>
      </c>
      <c r="N41" s="807" t="str">
        <f t="shared" si="3"/>
        <v>×</v>
      </c>
      <c r="O41" s="1023"/>
      <c r="R41" s="192"/>
    </row>
    <row r="42" spans="1:19" ht="24" customHeight="1">
      <c r="B42" s="336">
        <v>6</v>
      </c>
      <c r="C42" s="724" t="str">
        <f t="shared" si="1"/>
        <v/>
      </c>
      <c r="D42" s="723"/>
      <c r="E42" s="723"/>
      <c r="F42" s="723"/>
      <c r="G42" s="731"/>
      <c r="H42" s="732"/>
      <c r="I42" s="805"/>
      <c r="J42" s="733"/>
      <c r="K42" s="733"/>
      <c r="L42" s="807">
        <f t="shared" si="2"/>
        <v>8</v>
      </c>
      <c r="M42" s="807">
        <f t="shared" si="0"/>
        <v>2</v>
      </c>
      <c r="N42" s="807" t="str">
        <f t="shared" si="3"/>
        <v>×</v>
      </c>
      <c r="O42" s="1023"/>
      <c r="R42" s="192"/>
    </row>
    <row r="43" spans="1:19" ht="24" customHeight="1">
      <c r="B43" s="336">
        <v>7</v>
      </c>
      <c r="C43" s="724" t="str">
        <f t="shared" si="1"/>
        <v/>
      </c>
      <c r="D43" s="723"/>
      <c r="E43" s="723"/>
      <c r="F43" s="723"/>
      <c r="G43" s="731"/>
      <c r="H43" s="732"/>
      <c r="I43" s="805"/>
      <c r="J43" s="733"/>
      <c r="K43" s="733"/>
      <c r="L43" s="807">
        <f t="shared" si="2"/>
        <v>8</v>
      </c>
      <c r="M43" s="807">
        <f t="shared" si="0"/>
        <v>2</v>
      </c>
      <c r="N43" s="807" t="str">
        <f t="shared" si="3"/>
        <v>×</v>
      </c>
      <c r="O43" s="1023"/>
      <c r="R43" s="192"/>
    </row>
    <row r="44" spans="1:19" ht="24" customHeight="1">
      <c r="B44" s="336">
        <v>8</v>
      </c>
      <c r="C44" s="724" t="str">
        <f t="shared" si="1"/>
        <v/>
      </c>
      <c r="D44" s="723"/>
      <c r="E44" s="723"/>
      <c r="F44" s="723"/>
      <c r="G44" s="731"/>
      <c r="H44" s="732"/>
      <c r="I44" s="805"/>
      <c r="J44" s="733"/>
      <c r="K44" s="733"/>
      <c r="L44" s="807">
        <f t="shared" si="2"/>
        <v>8</v>
      </c>
      <c r="M44" s="807">
        <f t="shared" si="0"/>
        <v>2</v>
      </c>
      <c r="N44" s="807" t="str">
        <f t="shared" si="3"/>
        <v>×</v>
      </c>
      <c r="O44" s="1023"/>
      <c r="R44" s="192"/>
    </row>
    <row r="45" spans="1:19" ht="24" customHeight="1">
      <c r="B45" s="336">
        <v>9</v>
      </c>
      <c r="C45" s="724" t="str">
        <f t="shared" si="1"/>
        <v/>
      </c>
      <c r="D45" s="723"/>
      <c r="E45" s="723"/>
      <c r="F45" s="723"/>
      <c r="G45" s="731"/>
      <c r="H45" s="732"/>
      <c r="I45" s="805"/>
      <c r="J45" s="733"/>
      <c r="K45" s="733"/>
      <c r="L45" s="807">
        <f t="shared" si="2"/>
        <v>8</v>
      </c>
      <c r="M45" s="807">
        <f t="shared" si="0"/>
        <v>2</v>
      </c>
      <c r="N45" s="807" t="str">
        <f t="shared" si="3"/>
        <v>×</v>
      </c>
      <c r="O45" s="1023"/>
      <c r="R45" s="192"/>
    </row>
    <row r="46" spans="1:19" ht="24" customHeight="1">
      <c r="B46" s="336">
        <v>10</v>
      </c>
      <c r="C46" s="724" t="str">
        <f t="shared" si="1"/>
        <v/>
      </c>
      <c r="D46" s="723"/>
      <c r="E46" s="723"/>
      <c r="F46" s="723"/>
      <c r="G46" s="731"/>
      <c r="H46" s="732"/>
      <c r="I46" s="805"/>
      <c r="J46" s="733"/>
      <c r="K46" s="733"/>
      <c r="L46" s="807">
        <f t="shared" si="2"/>
        <v>8</v>
      </c>
      <c r="M46" s="807">
        <f t="shared" si="0"/>
        <v>2</v>
      </c>
      <c r="N46" s="807" t="str">
        <f t="shared" si="3"/>
        <v>×</v>
      </c>
      <c r="O46" s="1023"/>
      <c r="R46" s="192"/>
    </row>
    <row r="47" spans="1:19" ht="24" customHeight="1">
      <c r="B47" s="336">
        <v>11</v>
      </c>
      <c r="C47" s="724" t="str">
        <f t="shared" si="1"/>
        <v/>
      </c>
      <c r="D47" s="723"/>
      <c r="E47" s="723"/>
      <c r="F47" s="723"/>
      <c r="G47" s="731"/>
      <c r="H47" s="732"/>
      <c r="I47" s="805"/>
      <c r="J47" s="733"/>
      <c r="K47" s="733"/>
      <c r="L47" s="807">
        <f t="shared" si="2"/>
        <v>8</v>
      </c>
      <c r="M47" s="807">
        <f t="shared" si="0"/>
        <v>2</v>
      </c>
      <c r="N47" s="807" t="str">
        <f t="shared" si="3"/>
        <v>×</v>
      </c>
      <c r="O47" s="1023"/>
      <c r="R47" s="192"/>
    </row>
    <row r="48" spans="1:19" ht="24" customHeight="1">
      <c r="B48" s="336">
        <v>12</v>
      </c>
      <c r="C48" s="724" t="str">
        <f t="shared" si="1"/>
        <v/>
      </c>
      <c r="D48" s="723"/>
      <c r="E48" s="723"/>
      <c r="F48" s="723"/>
      <c r="G48" s="731"/>
      <c r="H48" s="732"/>
      <c r="I48" s="805"/>
      <c r="J48" s="733"/>
      <c r="K48" s="733"/>
      <c r="L48" s="807">
        <f t="shared" si="2"/>
        <v>8</v>
      </c>
      <c r="M48" s="807">
        <f t="shared" si="0"/>
        <v>2</v>
      </c>
      <c r="N48" s="807" t="str">
        <f t="shared" si="3"/>
        <v>×</v>
      </c>
      <c r="O48" s="1023"/>
      <c r="R48" s="192"/>
    </row>
    <row r="49" spans="2:18" ht="24" customHeight="1">
      <c r="B49" s="336">
        <v>13</v>
      </c>
      <c r="C49" s="724" t="str">
        <f t="shared" si="1"/>
        <v/>
      </c>
      <c r="D49" s="723"/>
      <c r="E49" s="723"/>
      <c r="F49" s="723"/>
      <c r="G49" s="731"/>
      <c r="H49" s="732"/>
      <c r="I49" s="805"/>
      <c r="J49" s="733"/>
      <c r="K49" s="733"/>
      <c r="L49" s="807">
        <f t="shared" si="2"/>
        <v>8</v>
      </c>
      <c r="M49" s="807">
        <f t="shared" si="0"/>
        <v>2</v>
      </c>
      <c r="N49" s="807" t="str">
        <f t="shared" si="3"/>
        <v>×</v>
      </c>
      <c r="O49" s="1023"/>
      <c r="R49" s="192"/>
    </row>
    <row r="50" spans="2:18" ht="24" customHeight="1">
      <c r="B50" s="336">
        <v>14</v>
      </c>
      <c r="C50" s="724" t="str">
        <f t="shared" si="1"/>
        <v/>
      </c>
      <c r="D50" s="723"/>
      <c r="E50" s="723"/>
      <c r="F50" s="723"/>
      <c r="G50" s="731"/>
      <c r="H50" s="732"/>
      <c r="I50" s="805"/>
      <c r="J50" s="733"/>
      <c r="K50" s="733"/>
      <c r="L50" s="807">
        <f t="shared" si="2"/>
        <v>8</v>
      </c>
      <c r="M50" s="807">
        <f t="shared" si="0"/>
        <v>2</v>
      </c>
      <c r="N50" s="807" t="str">
        <f t="shared" si="3"/>
        <v>×</v>
      </c>
      <c r="O50" s="1023"/>
      <c r="R50" s="192"/>
    </row>
    <row r="51" spans="2:18" ht="24" customHeight="1">
      <c r="B51" s="336">
        <v>15</v>
      </c>
      <c r="C51" s="724" t="str">
        <f t="shared" si="1"/>
        <v/>
      </c>
      <c r="D51" s="723"/>
      <c r="E51" s="723"/>
      <c r="F51" s="723"/>
      <c r="G51" s="731"/>
      <c r="H51" s="732"/>
      <c r="I51" s="805"/>
      <c r="J51" s="733"/>
      <c r="K51" s="733"/>
      <c r="L51" s="807">
        <f t="shared" si="2"/>
        <v>8</v>
      </c>
      <c r="M51" s="807">
        <f t="shared" si="0"/>
        <v>2</v>
      </c>
      <c r="N51" s="807" t="str">
        <f t="shared" si="3"/>
        <v>×</v>
      </c>
      <c r="O51" s="1023"/>
      <c r="R51" s="192"/>
    </row>
    <row r="52" spans="2:18" ht="24" customHeight="1">
      <c r="B52" s="336">
        <v>16</v>
      </c>
      <c r="C52" s="724" t="str">
        <f t="shared" si="1"/>
        <v/>
      </c>
      <c r="D52" s="723"/>
      <c r="E52" s="723"/>
      <c r="F52" s="723"/>
      <c r="G52" s="731"/>
      <c r="H52" s="732"/>
      <c r="I52" s="805"/>
      <c r="J52" s="733"/>
      <c r="K52" s="733"/>
      <c r="L52" s="807">
        <f t="shared" si="2"/>
        <v>8</v>
      </c>
      <c r="M52" s="807">
        <f t="shared" si="0"/>
        <v>2</v>
      </c>
      <c r="N52" s="807" t="str">
        <f t="shared" si="3"/>
        <v>×</v>
      </c>
      <c r="O52" s="1023"/>
      <c r="R52" s="192"/>
    </row>
    <row r="53" spans="2:18" ht="24" customHeight="1">
      <c r="B53" s="336">
        <v>17</v>
      </c>
      <c r="C53" s="724" t="str">
        <f t="shared" si="1"/>
        <v/>
      </c>
      <c r="D53" s="723"/>
      <c r="E53" s="723"/>
      <c r="F53" s="723"/>
      <c r="G53" s="731"/>
      <c r="H53" s="732"/>
      <c r="I53" s="805"/>
      <c r="J53" s="733"/>
      <c r="K53" s="733"/>
      <c r="L53" s="807">
        <f t="shared" si="2"/>
        <v>8</v>
      </c>
      <c r="M53" s="807">
        <f t="shared" si="0"/>
        <v>2</v>
      </c>
      <c r="N53" s="807" t="str">
        <f t="shared" si="3"/>
        <v>×</v>
      </c>
      <c r="O53" s="1023"/>
      <c r="R53" s="192"/>
    </row>
    <row r="54" spans="2:18" ht="24" customHeight="1">
      <c r="B54" s="336">
        <v>18</v>
      </c>
      <c r="C54" s="724" t="str">
        <f t="shared" si="1"/>
        <v/>
      </c>
      <c r="D54" s="723"/>
      <c r="E54" s="723"/>
      <c r="F54" s="723"/>
      <c r="G54" s="731"/>
      <c r="H54" s="732"/>
      <c r="I54" s="805"/>
      <c r="J54" s="733"/>
      <c r="K54" s="733"/>
      <c r="L54" s="807">
        <f t="shared" si="2"/>
        <v>8</v>
      </c>
      <c r="M54" s="807">
        <f t="shared" si="0"/>
        <v>2</v>
      </c>
      <c r="N54" s="807" t="str">
        <f t="shared" si="3"/>
        <v>×</v>
      </c>
      <c r="O54" s="1023"/>
      <c r="R54" s="192"/>
    </row>
    <row r="55" spans="2:18" ht="24" customHeight="1">
      <c r="B55" s="336">
        <v>19</v>
      </c>
      <c r="C55" s="724" t="str">
        <f t="shared" si="1"/>
        <v/>
      </c>
      <c r="D55" s="723"/>
      <c r="E55" s="723"/>
      <c r="F55" s="723"/>
      <c r="G55" s="731"/>
      <c r="H55" s="732"/>
      <c r="I55" s="805"/>
      <c r="J55" s="733"/>
      <c r="K55" s="733"/>
      <c r="L55" s="807">
        <f t="shared" si="2"/>
        <v>8</v>
      </c>
      <c r="M55" s="807">
        <f t="shared" si="0"/>
        <v>2</v>
      </c>
      <c r="N55" s="807" t="str">
        <f t="shared" si="3"/>
        <v>×</v>
      </c>
      <c r="O55" s="1023"/>
      <c r="R55" s="192"/>
    </row>
    <row r="56" spans="2:18" ht="24" customHeight="1">
      <c r="B56" s="336">
        <v>20</v>
      </c>
      <c r="C56" s="724" t="str">
        <f t="shared" si="1"/>
        <v/>
      </c>
      <c r="D56" s="723"/>
      <c r="E56" s="723"/>
      <c r="F56" s="723"/>
      <c r="G56" s="731"/>
      <c r="H56" s="732"/>
      <c r="I56" s="805"/>
      <c r="J56" s="733"/>
      <c r="K56" s="733"/>
      <c r="L56" s="807">
        <f t="shared" si="2"/>
        <v>8</v>
      </c>
      <c r="M56" s="807">
        <f t="shared" si="0"/>
        <v>2</v>
      </c>
      <c r="N56" s="807" t="str">
        <f t="shared" si="3"/>
        <v>×</v>
      </c>
      <c r="O56" s="1023"/>
      <c r="R56" s="192"/>
    </row>
    <row r="57" spans="2:18" ht="24" customHeight="1">
      <c r="B57" s="336">
        <v>21</v>
      </c>
      <c r="C57" s="724" t="str">
        <f t="shared" si="1"/>
        <v/>
      </c>
      <c r="D57" s="723"/>
      <c r="E57" s="723"/>
      <c r="F57" s="723"/>
      <c r="G57" s="731"/>
      <c r="H57" s="732"/>
      <c r="I57" s="805"/>
      <c r="J57" s="733"/>
      <c r="K57" s="733"/>
      <c r="L57" s="807">
        <f t="shared" si="2"/>
        <v>8</v>
      </c>
      <c r="M57" s="807">
        <f t="shared" si="0"/>
        <v>2</v>
      </c>
      <c r="N57" s="807" t="str">
        <f t="shared" si="3"/>
        <v>×</v>
      </c>
      <c r="O57" s="1023"/>
      <c r="R57" s="192"/>
    </row>
    <row r="58" spans="2:18" ht="24" customHeight="1">
      <c r="B58" s="336">
        <v>22</v>
      </c>
      <c r="C58" s="724" t="str">
        <f t="shared" si="1"/>
        <v/>
      </c>
      <c r="D58" s="723"/>
      <c r="E58" s="723"/>
      <c r="F58" s="723"/>
      <c r="G58" s="731"/>
      <c r="H58" s="732"/>
      <c r="I58" s="805"/>
      <c r="J58" s="733"/>
      <c r="K58" s="733"/>
      <c r="L58" s="807">
        <f t="shared" si="2"/>
        <v>8</v>
      </c>
      <c r="M58" s="807">
        <f t="shared" si="0"/>
        <v>2</v>
      </c>
      <c r="N58" s="807" t="str">
        <f t="shared" si="3"/>
        <v>×</v>
      </c>
      <c r="O58" s="1023"/>
      <c r="R58" s="192"/>
    </row>
    <row r="59" spans="2:18" ht="24" customHeight="1">
      <c r="B59" s="336">
        <v>23</v>
      </c>
      <c r="C59" s="724" t="str">
        <f t="shared" si="1"/>
        <v/>
      </c>
      <c r="D59" s="723"/>
      <c r="E59" s="723"/>
      <c r="F59" s="723"/>
      <c r="G59" s="731"/>
      <c r="H59" s="732"/>
      <c r="I59" s="805"/>
      <c r="J59" s="733"/>
      <c r="K59" s="733"/>
      <c r="L59" s="807">
        <f t="shared" si="2"/>
        <v>8</v>
      </c>
      <c r="M59" s="807">
        <f t="shared" si="0"/>
        <v>2</v>
      </c>
      <c r="N59" s="807" t="str">
        <f t="shared" si="3"/>
        <v>×</v>
      </c>
      <c r="O59" s="1023"/>
      <c r="R59" s="192"/>
    </row>
    <row r="60" spans="2:18" ht="24" customHeight="1">
      <c r="B60" s="336">
        <v>24</v>
      </c>
      <c r="C60" s="724" t="str">
        <f t="shared" si="1"/>
        <v/>
      </c>
      <c r="D60" s="723"/>
      <c r="E60" s="723"/>
      <c r="F60" s="723"/>
      <c r="G60" s="731"/>
      <c r="H60" s="732"/>
      <c r="I60" s="805"/>
      <c r="J60" s="733"/>
      <c r="K60" s="733"/>
      <c r="L60" s="807">
        <f t="shared" si="2"/>
        <v>8</v>
      </c>
      <c r="M60" s="807">
        <f t="shared" si="0"/>
        <v>2</v>
      </c>
      <c r="N60" s="807" t="str">
        <f t="shared" si="3"/>
        <v>×</v>
      </c>
      <c r="O60" s="1023"/>
      <c r="R60" s="192"/>
    </row>
    <row r="61" spans="2:18" ht="24" customHeight="1">
      <c r="B61" s="336">
        <v>25</v>
      </c>
      <c r="C61" s="724" t="str">
        <f t="shared" si="1"/>
        <v/>
      </c>
      <c r="D61" s="723"/>
      <c r="E61" s="723"/>
      <c r="F61" s="723"/>
      <c r="G61" s="731"/>
      <c r="H61" s="732"/>
      <c r="I61" s="805"/>
      <c r="J61" s="733"/>
      <c r="K61" s="733"/>
      <c r="L61" s="807">
        <f t="shared" si="2"/>
        <v>8</v>
      </c>
      <c r="M61" s="807">
        <f t="shared" si="0"/>
        <v>2</v>
      </c>
      <c r="N61" s="807" t="str">
        <f t="shared" si="3"/>
        <v>×</v>
      </c>
      <c r="O61" s="1023"/>
      <c r="R61" s="192"/>
    </row>
    <row r="62" spans="2:18" ht="24" customHeight="1">
      <c r="B62" s="336">
        <v>26</v>
      </c>
      <c r="C62" s="724" t="str">
        <f t="shared" si="1"/>
        <v/>
      </c>
      <c r="D62" s="723"/>
      <c r="E62" s="723"/>
      <c r="F62" s="723"/>
      <c r="G62" s="731"/>
      <c r="H62" s="732"/>
      <c r="I62" s="805"/>
      <c r="J62" s="733"/>
      <c r="K62" s="733"/>
      <c r="L62" s="807">
        <f t="shared" si="2"/>
        <v>8</v>
      </c>
      <c r="M62" s="807">
        <f t="shared" si="0"/>
        <v>2</v>
      </c>
      <c r="N62" s="807" t="str">
        <f t="shared" si="3"/>
        <v>×</v>
      </c>
      <c r="O62" s="1023"/>
      <c r="R62" s="192"/>
    </row>
    <row r="63" spans="2:18" ht="24" customHeight="1">
      <c r="B63" s="336">
        <v>27</v>
      </c>
      <c r="C63" s="724" t="str">
        <f t="shared" si="1"/>
        <v/>
      </c>
      <c r="D63" s="723"/>
      <c r="E63" s="723"/>
      <c r="F63" s="723"/>
      <c r="G63" s="731"/>
      <c r="H63" s="732"/>
      <c r="I63" s="805"/>
      <c r="J63" s="733"/>
      <c r="K63" s="733"/>
      <c r="L63" s="807">
        <f t="shared" si="2"/>
        <v>8</v>
      </c>
      <c r="M63" s="807">
        <f t="shared" si="0"/>
        <v>2</v>
      </c>
      <c r="N63" s="807" t="str">
        <f t="shared" si="3"/>
        <v>×</v>
      </c>
      <c r="O63" s="1023"/>
      <c r="R63" s="192"/>
    </row>
    <row r="64" spans="2:18" ht="24" customHeight="1">
      <c r="B64" s="336">
        <v>28</v>
      </c>
      <c r="C64" s="724" t="str">
        <f t="shared" si="1"/>
        <v/>
      </c>
      <c r="D64" s="723"/>
      <c r="E64" s="723"/>
      <c r="F64" s="723"/>
      <c r="G64" s="731"/>
      <c r="H64" s="732"/>
      <c r="I64" s="805"/>
      <c r="J64" s="733"/>
      <c r="K64" s="733"/>
      <c r="L64" s="807">
        <f t="shared" si="2"/>
        <v>8</v>
      </c>
      <c r="M64" s="807">
        <f t="shared" si="0"/>
        <v>2</v>
      </c>
      <c r="N64" s="807" t="str">
        <f t="shared" si="3"/>
        <v>×</v>
      </c>
      <c r="O64" s="1023"/>
      <c r="R64" s="192"/>
    </row>
    <row r="65" spans="2:18" ht="24" customHeight="1">
      <c r="B65" s="336">
        <v>29</v>
      </c>
      <c r="C65" s="724" t="str">
        <f t="shared" si="1"/>
        <v/>
      </c>
      <c r="D65" s="723"/>
      <c r="E65" s="723"/>
      <c r="F65" s="723"/>
      <c r="G65" s="731"/>
      <c r="H65" s="732"/>
      <c r="I65" s="805"/>
      <c r="J65" s="733"/>
      <c r="K65" s="733"/>
      <c r="L65" s="807">
        <f t="shared" si="2"/>
        <v>8</v>
      </c>
      <c r="M65" s="807">
        <f t="shared" si="0"/>
        <v>2</v>
      </c>
      <c r="N65" s="807" t="str">
        <f t="shared" si="3"/>
        <v>×</v>
      </c>
      <c r="O65" s="1023"/>
      <c r="R65" s="192"/>
    </row>
    <row r="66" spans="2:18" ht="24" customHeight="1">
      <c r="B66" s="336">
        <v>30</v>
      </c>
      <c r="C66" s="724" t="str">
        <f t="shared" si="1"/>
        <v/>
      </c>
      <c r="D66" s="723"/>
      <c r="E66" s="723"/>
      <c r="F66" s="723"/>
      <c r="G66" s="731"/>
      <c r="H66" s="732"/>
      <c r="I66" s="805"/>
      <c r="J66" s="733"/>
      <c r="K66" s="733"/>
      <c r="L66" s="807">
        <f t="shared" si="2"/>
        <v>8</v>
      </c>
      <c r="M66" s="807">
        <f t="shared" si="0"/>
        <v>2</v>
      </c>
      <c r="N66" s="807" t="str">
        <f t="shared" si="3"/>
        <v>×</v>
      </c>
      <c r="O66" s="1023"/>
      <c r="R66" s="192"/>
    </row>
    <row r="67" spans="2:18" ht="24" customHeight="1">
      <c r="B67" s="336">
        <v>31</v>
      </c>
      <c r="C67" s="724" t="str">
        <f t="shared" si="1"/>
        <v/>
      </c>
      <c r="D67" s="723"/>
      <c r="E67" s="723"/>
      <c r="F67" s="723"/>
      <c r="G67" s="731"/>
      <c r="H67" s="732"/>
      <c r="I67" s="805"/>
      <c r="J67" s="733"/>
      <c r="K67" s="733"/>
      <c r="L67" s="807">
        <f t="shared" si="2"/>
        <v>8</v>
      </c>
      <c r="M67" s="807">
        <f t="shared" si="0"/>
        <v>2</v>
      </c>
      <c r="N67" s="807" t="str">
        <f t="shared" si="3"/>
        <v>×</v>
      </c>
      <c r="O67" s="1023"/>
      <c r="R67" s="192"/>
    </row>
    <row r="68" spans="2:18" ht="24" customHeight="1">
      <c r="B68" s="336">
        <v>32</v>
      </c>
      <c r="C68" s="724" t="str">
        <f t="shared" si="1"/>
        <v/>
      </c>
      <c r="D68" s="723"/>
      <c r="E68" s="723"/>
      <c r="F68" s="723"/>
      <c r="G68" s="731"/>
      <c r="H68" s="732"/>
      <c r="I68" s="805"/>
      <c r="J68" s="733"/>
      <c r="K68" s="733"/>
      <c r="L68" s="807">
        <f t="shared" si="2"/>
        <v>8</v>
      </c>
      <c r="M68" s="807">
        <f t="shared" si="0"/>
        <v>2</v>
      </c>
      <c r="N68" s="807" t="str">
        <f t="shared" si="3"/>
        <v>×</v>
      </c>
      <c r="O68" s="1023"/>
      <c r="R68" s="192"/>
    </row>
    <row r="69" spans="2:18" ht="24" customHeight="1">
      <c r="B69" s="336">
        <v>33</v>
      </c>
      <c r="C69" s="724" t="str">
        <f t="shared" si="1"/>
        <v/>
      </c>
      <c r="D69" s="723"/>
      <c r="E69" s="723"/>
      <c r="F69" s="723"/>
      <c r="G69" s="731"/>
      <c r="H69" s="732"/>
      <c r="I69" s="805"/>
      <c r="J69" s="733"/>
      <c r="K69" s="733"/>
      <c r="L69" s="807">
        <f t="shared" si="2"/>
        <v>8</v>
      </c>
      <c r="M69" s="807">
        <f t="shared" si="0"/>
        <v>2</v>
      </c>
      <c r="N69" s="807" t="str">
        <f t="shared" si="3"/>
        <v>×</v>
      </c>
      <c r="O69" s="1023"/>
      <c r="R69" s="192"/>
    </row>
    <row r="70" spans="2:18" ht="24" customHeight="1">
      <c r="B70" s="336">
        <v>34</v>
      </c>
      <c r="C70" s="724" t="str">
        <f t="shared" si="1"/>
        <v/>
      </c>
      <c r="D70" s="723"/>
      <c r="E70" s="723"/>
      <c r="F70" s="723"/>
      <c r="G70" s="731"/>
      <c r="H70" s="732"/>
      <c r="I70" s="805"/>
      <c r="J70" s="733"/>
      <c r="K70" s="733"/>
      <c r="L70" s="807">
        <f t="shared" si="2"/>
        <v>8</v>
      </c>
      <c r="M70" s="807">
        <f t="shared" si="0"/>
        <v>2</v>
      </c>
      <c r="N70" s="807" t="str">
        <f t="shared" si="3"/>
        <v>×</v>
      </c>
      <c r="O70" s="1023"/>
      <c r="R70" s="192"/>
    </row>
    <row r="71" spans="2:18" ht="24" customHeight="1">
      <c r="B71" s="336">
        <v>35</v>
      </c>
      <c r="C71" s="724" t="str">
        <f t="shared" si="1"/>
        <v/>
      </c>
      <c r="D71" s="723"/>
      <c r="E71" s="723"/>
      <c r="F71" s="723"/>
      <c r="G71" s="731"/>
      <c r="H71" s="732"/>
      <c r="I71" s="805"/>
      <c r="J71" s="733"/>
      <c r="K71" s="733"/>
      <c r="L71" s="807">
        <f t="shared" si="2"/>
        <v>8</v>
      </c>
      <c r="M71" s="807">
        <f t="shared" si="0"/>
        <v>2</v>
      </c>
      <c r="N71" s="807" t="str">
        <f t="shared" si="3"/>
        <v>×</v>
      </c>
      <c r="O71" s="1023"/>
      <c r="R71" s="192"/>
    </row>
    <row r="72" spans="2:18" ht="24" customHeight="1">
      <c r="B72" s="336">
        <v>36</v>
      </c>
      <c r="C72" s="724" t="str">
        <f t="shared" si="1"/>
        <v/>
      </c>
      <c r="D72" s="723"/>
      <c r="E72" s="723"/>
      <c r="F72" s="723"/>
      <c r="G72" s="731"/>
      <c r="H72" s="732"/>
      <c r="I72" s="805"/>
      <c r="J72" s="733"/>
      <c r="K72" s="733"/>
      <c r="L72" s="807">
        <f t="shared" si="2"/>
        <v>8</v>
      </c>
      <c r="M72" s="807">
        <f t="shared" si="0"/>
        <v>2</v>
      </c>
      <c r="N72" s="807" t="str">
        <f t="shared" si="3"/>
        <v>×</v>
      </c>
      <c r="O72" s="1023"/>
      <c r="R72" s="192"/>
    </row>
    <row r="73" spans="2:18" ht="24" customHeight="1">
      <c r="B73" s="336">
        <v>37</v>
      </c>
      <c r="C73" s="724" t="str">
        <f t="shared" si="1"/>
        <v/>
      </c>
      <c r="D73" s="723"/>
      <c r="E73" s="723"/>
      <c r="F73" s="723"/>
      <c r="G73" s="731"/>
      <c r="H73" s="732"/>
      <c r="I73" s="805"/>
      <c r="J73" s="733"/>
      <c r="K73" s="733"/>
      <c r="L73" s="807">
        <f t="shared" si="2"/>
        <v>8</v>
      </c>
      <c r="M73" s="807">
        <f t="shared" si="0"/>
        <v>2</v>
      </c>
      <c r="N73" s="807" t="str">
        <f t="shared" si="3"/>
        <v>×</v>
      </c>
      <c r="O73" s="1023"/>
      <c r="R73" s="192"/>
    </row>
    <row r="74" spans="2:18" ht="24" customHeight="1">
      <c r="B74" s="336">
        <v>38</v>
      </c>
      <c r="C74" s="724" t="str">
        <f t="shared" si="1"/>
        <v/>
      </c>
      <c r="D74" s="723"/>
      <c r="E74" s="723"/>
      <c r="F74" s="723"/>
      <c r="G74" s="731"/>
      <c r="H74" s="732"/>
      <c r="I74" s="805"/>
      <c r="J74" s="733"/>
      <c r="K74" s="733"/>
      <c r="L74" s="807">
        <f t="shared" si="2"/>
        <v>8</v>
      </c>
      <c r="M74" s="807">
        <f t="shared" si="0"/>
        <v>2</v>
      </c>
      <c r="N74" s="807" t="str">
        <f t="shared" si="3"/>
        <v>×</v>
      </c>
      <c r="O74" s="1023"/>
      <c r="R74" s="192"/>
    </row>
    <row r="75" spans="2:18" ht="24" customHeight="1">
      <c r="B75" s="336">
        <v>39</v>
      </c>
      <c r="C75" s="724" t="str">
        <f t="shared" si="1"/>
        <v/>
      </c>
      <c r="D75" s="723"/>
      <c r="E75" s="723"/>
      <c r="F75" s="723"/>
      <c r="G75" s="731"/>
      <c r="H75" s="732"/>
      <c r="I75" s="805"/>
      <c r="J75" s="733"/>
      <c r="K75" s="733"/>
      <c r="L75" s="807">
        <f t="shared" si="2"/>
        <v>8</v>
      </c>
      <c r="M75" s="807">
        <f t="shared" si="0"/>
        <v>2</v>
      </c>
      <c r="N75" s="807" t="str">
        <f t="shared" si="3"/>
        <v>×</v>
      </c>
      <c r="O75" s="1023"/>
      <c r="R75" s="192"/>
    </row>
    <row r="76" spans="2:18" ht="24" customHeight="1">
      <c r="B76" s="336">
        <v>40</v>
      </c>
      <c r="C76" s="724" t="str">
        <f t="shared" si="1"/>
        <v/>
      </c>
      <c r="D76" s="723"/>
      <c r="E76" s="723"/>
      <c r="F76" s="723"/>
      <c r="G76" s="731"/>
      <c r="H76" s="732"/>
      <c r="I76" s="805"/>
      <c r="J76" s="733"/>
      <c r="K76" s="733"/>
      <c r="L76" s="807">
        <f t="shared" si="2"/>
        <v>8</v>
      </c>
      <c r="M76" s="807">
        <f t="shared" si="0"/>
        <v>2</v>
      </c>
      <c r="N76" s="807" t="str">
        <f t="shared" si="3"/>
        <v>×</v>
      </c>
      <c r="O76" s="1023"/>
      <c r="R76" s="192"/>
    </row>
    <row r="77" spans="2:18" ht="24" customHeight="1">
      <c r="B77" s="336">
        <v>41</v>
      </c>
      <c r="C77" s="724" t="str">
        <f t="shared" si="1"/>
        <v/>
      </c>
      <c r="D77" s="723"/>
      <c r="E77" s="723"/>
      <c r="F77" s="723"/>
      <c r="G77" s="731"/>
      <c r="H77" s="732"/>
      <c r="I77" s="805"/>
      <c r="J77" s="733"/>
      <c r="K77" s="733"/>
      <c r="L77" s="807">
        <f t="shared" si="2"/>
        <v>8</v>
      </c>
      <c r="M77" s="807">
        <f t="shared" si="0"/>
        <v>2</v>
      </c>
      <c r="N77" s="807" t="str">
        <f t="shared" si="3"/>
        <v>×</v>
      </c>
      <c r="O77" s="1023"/>
      <c r="R77" s="192"/>
    </row>
    <row r="78" spans="2:18" ht="24" customHeight="1">
      <c r="B78" s="336">
        <v>42</v>
      </c>
      <c r="C78" s="724" t="str">
        <f t="shared" si="1"/>
        <v/>
      </c>
      <c r="D78" s="723"/>
      <c r="E78" s="723"/>
      <c r="F78" s="723"/>
      <c r="G78" s="731"/>
      <c r="H78" s="732"/>
      <c r="I78" s="805"/>
      <c r="J78" s="733"/>
      <c r="K78" s="733"/>
      <c r="L78" s="807">
        <f t="shared" si="2"/>
        <v>8</v>
      </c>
      <c r="M78" s="807">
        <f t="shared" si="0"/>
        <v>2</v>
      </c>
      <c r="N78" s="807" t="str">
        <f t="shared" si="3"/>
        <v>×</v>
      </c>
      <c r="O78" s="1023"/>
      <c r="R78" s="192"/>
    </row>
    <row r="79" spans="2:18" ht="24" customHeight="1">
      <c r="B79" s="336">
        <v>43</v>
      </c>
      <c r="C79" s="724" t="str">
        <f t="shared" si="1"/>
        <v/>
      </c>
      <c r="D79" s="723"/>
      <c r="E79" s="723"/>
      <c r="F79" s="723"/>
      <c r="G79" s="731"/>
      <c r="H79" s="732"/>
      <c r="I79" s="805"/>
      <c r="J79" s="733"/>
      <c r="K79" s="733"/>
      <c r="L79" s="807">
        <f t="shared" si="2"/>
        <v>8</v>
      </c>
      <c r="M79" s="807">
        <f t="shared" si="0"/>
        <v>2</v>
      </c>
      <c r="N79" s="807" t="str">
        <f t="shared" si="3"/>
        <v>×</v>
      </c>
      <c r="O79" s="1023"/>
      <c r="R79" s="192"/>
    </row>
    <row r="80" spans="2:18" ht="24" customHeight="1">
      <c r="B80" s="336">
        <v>44</v>
      </c>
      <c r="C80" s="724" t="str">
        <f t="shared" si="1"/>
        <v/>
      </c>
      <c r="D80" s="723"/>
      <c r="E80" s="723"/>
      <c r="F80" s="723"/>
      <c r="G80" s="731"/>
      <c r="H80" s="732"/>
      <c r="I80" s="805"/>
      <c r="J80" s="733"/>
      <c r="K80" s="733"/>
      <c r="L80" s="807">
        <f t="shared" si="2"/>
        <v>8</v>
      </c>
      <c r="M80" s="807">
        <f t="shared" si="0"/>
        <v>2</v>
      </c>
      <c r="N80" s="807" t="str">
        <f t="shared" si="3"/>
        <v>×</v>
      </c>
      <c r="O80" s="1023"/>
      <c r="R80" s="192"/>
    </row>
    <row r="81" spans="2:18" ht="24" customHeight="1">
      <c r="B81" s="336">
        <v>45</v>
      </c>
      <c r="C81" s="724" t="str">
        <f t="shared" si="1"/>
        <v/>
      </c>
      <c r="D81" s="723"/>
      <c r="E81" s="723"/>
      <c r="F81" s="723"/>
      <c r="G81" s="731"/>
      <c r="H81" s="732"/>
      <c r="I81" s="805"/>
      <c r="J81" s="733"/>
      <c r="K81" s="733"/>
      <c r="L81" s="807">
        <f t="shared" si="2"/>
        <v>8</v>
      </c>
      <c r="M81" s="807">
        <f t="shared" si="0"/>
        <v>2</v>
      </c>
      <c r="N81" s="807" t="str">
        <f t="shared" si="3"/>
        <v>×</v>
      </c>
      <c r="O81" s="1023"/>
      <c r="R81" s="192"/>
    </row>
    <row r="82" spans="2:18" ht="24" customHeight="1">
      <c r="B82" s="336">
        <v>46</v>
      </c>
      <c r="C82" s="724" t="str">
        <f t="shared" si="1"/>
        <v/>
      </c>
      <c r="D82" s="723"/>
      <c r="E82" s="723"/>
      <c r="F82" s="723"/>
      <c r="G82" s="731"/>
      <c r="H82" s="732"/>
      <c r="I82" s="805"/>
      <c r="J82" s="733"/>
      <c r="K82" s="733"/>
      <c r="L82" s="807">
        <f t="shared" si="2"/>
        <v>8</v>
      </c>
      <c r="M82" s="807">
        <f t="shared" si="0"/>
        <v>2</v>
      </c>
      <c r="N82" s="807" t="str">
        <f t="shared" si="3"/>
        <v>×</v>
      </c>
      <c r="O82" s="1023"/>
      <c r="R82" s="192"/>
    </row>
    <row r="83" spans="2:18" ht="24" customHeight="1">
      <c r="B83" s="336">
        <v>47</v>
      </c>
      <c r="C83" s="724" t="str">
        <f t="shared" si="1"/>
        <v/>
      </c>
      <c r="D83" s="723"/>
      <c r="E83" s="723"/>
      <c r="F83" s="723"/>
      <c r="G83" s="731"/>
      <c r="H83" s="732"/>
      <c r="I83" s="805"/>
      <c r="J83" s="733"/>
      <c r="K83" s="733"/>
      <c r="L83" s="807">
        <f t="shared" si="2"/>
        <v>8</v>
      </c>
      <c r="M83" s="807">
        <f t="shared" si="0"/>
        <v>2</v>
      </c>
      <c r="N83" s="807" t="str">
        <f t="shared" si="3"/>
        <v>×</v>
      </c>
      <c r="O83" s="1023"/>
      <c r="R83" s="192"/>
    </row>
    <row r="84" spans="2:18" ht="24" customHeight="1">
      <c r="B84" s="336">
        <v>48</v>
      </c>
      <c r="C84" s="724" t="str">
        <f t="shared" si="1"/>
        <v/>
      </c>
      <c r="D84" s="723"/>
      <c r="E84" s="723"/>
      <c r="F84" s="723"/>
      <c r="G84" s="731"/>
      <c r="H84" s="732"/>
      <c r="I84" s="805"/>
      <c r="J84" s="733"/>
      <c r="K84" s="733"/>
      <c r="L84" s="807">
        <f t="shared" si="2"/>
        <v>8</v>
      </c>
      <c r="M84" s="807">
        <f t="shared" si="0"/>
        <v>2</v>
      </c>
      <c r="N84" s="807" t="str">
        <f t="shared" si="3"/>
        <v>×</v>
      </c>
      <c r="O84" s="1023"/>
      <c r="R84" s="192"/>
    </row>
    <row r="85" spans="2:18" ht="24" customHeight="1">
      <c r="B85" s="336">
        <v>49</v>
      </c>
      <c r="C85" s="724" t="str">
        <f t="shared" si="1"/>
        <v/>
      </c>
      <c r="D85" s="723"/>
      <c r="E85" s="723"/>
      <c r="F85" s="723"/>
      <c r="G85" s="731"/>
      <c r="H85" s="732"/>
      <c r="I85" s="805"/>
      <c r="J85" s="733"/>
      <c r="K85" s="733"/>
      <c r="L85" s="807">
        <f t="shared" si="2"/>
        <v>8</v>
      </c>
      <c r="M85" s="807">
        <f t="shared" si="0"/>
        <v>2</v>
      </c>
      <c r="N85" s="807" t="str">
        <f t="shared" si="3"/>
        <v>×</v>
      </c>
      <c r="O85" s="1023"/>
      <c r="R85" s="192"/>
    </row>
    <row r="86" spans="2:18" ht="24" customHeight="1">
      <c r="B86" s="336">
        <v>50</v>
      </c>
      <c r="C86" s="724" t="str">
        <f t="shared" si="1"/>
        <v/>
      </c>
      <c r="D86" s="723"/>
      <c r="E86" s="723"/>
      <c r="F86" s="723"/>
      <c r="G86" s="731"/>
      <c r="H86" s="732"/>
      <c r="I86" s="805"/>
      <c r="J86" s="733"/>
      <c r="K86" s="733"/>
      <c r="L86" s="807">
        <f t="shared" si="2"/>
        <v>8</v>
      </c>
      <c r="M86" s="807">
        <f t="shared" si="0"/>
        <v>2</v>
      </c>
      <c r="N86" s="807" t="str">
        <f t="shared" si="3"/>
        <v>×</v>
      </c>
      <c r="O86" s="1023"/>
      <c r="R86" s="192"/>
    </row>
    <row r="87" spans="2:18" ht="24" customHeight="1">
      <c r="B87" s="336">
        <v>51</v>
      </c>
      <c r="C87" s="724" t="str">
        <f t="shared" si="1"/>
        <v/>
      </c>
      <c r="D87" s="723"/>
      <c r="E87" s="723"/>
      <c r="F87" s="723"/>
      <c r="G87" s="731"/>
      <c r="H87" s="732"/>
      <c r="I87" s="805"/>
      <c r="J87" s="733"/>
      <c r="K87" s="733"/>
      <c r="L87" s="807">
        <f t="shared" si="2"/>
        <v>8</v>
      </c>
      <c r="M87" s="807">
        <f t="shared" si="0"/>
        <v>2</v>
      </c>
      <c r="N87" s="807" t="str">
        <f t="shared" si="3"/>
        <v>×</v>
      </c>
      <c r="O87" s="1023"/>
      <c r="R87" s="192"/>
    </row>
    <row r="88" spans="2:18" ht="24" customHeight="1">
      <c r="B88" s="336">
        <v>52</v>
      </c>
      <c r="C88" s="724" t="str">
        <f t="shared" si="1"/>
        <v/>
      </c>
      <c r="D88" s="723"/>
      <c r="E88" s="723"/>
      <c r="F88" s="723"/>
      <c r="G88" s="731"/>
      <c r="H88" s="732"/>
      <c r="I88" s="805"/>
      <c r="J88" s="733"/>
      <c r="K88" s="733"/>
      <c r="L88" s="807">
        <f t="shared" si="2"/>
        <v>8</v>
      </c>
      <c r="M88" s="807">
        <f t="shared" si="0"/>
        <v>2</v>
      </c>
      <c r="N88" s="807" t="str">
        <f t="shared" si="3"/>
        <v>×</v>
      </c>
      <c r="O88" s="1023"/>
      <c r="R88" s="192"/>
    </row>
    <row r="89" spans="2:18" ht="24" customHeight="1">
      <c r="B89" s="336">
        <v>53</v>
      </c>
      <c r="C89" s="724" t="str">
        <f t="shared" si="1"/>
        <v/>
      </c>
      <c r="D89" s="723"/>
      <c r="E89" s="723"/>
      <c r="F89" s="723"/>
      <c r="G89" s="731"/>
      <c r="H89" s="732"/>
      <c r="I89" s="805"/>
      <c r="J89" s="733"/>
      <c r="K89" s="733"/>
      <c r="L89" s="807">
        <f t="shared" si="2"/>
        <v>8</v>
      </c>
      <c r="M89" s="807">
        <f t="shared" si="0"/>
        <v>2</v>
      </c>
      <c r="N89" s="807" t="str">
        <f t="shared" si="3"/>
        <v>×</v>
      </c>
      <c r="O89" s="1023"/>
      <c r="R89" s="192"/>
    </row>
    <row r="90" spans="2:18" ht="24" customHeight="1">
      <c r="B90" s="336">
        <v>54</v>
      </c>
      <c r="C90" s="724" t="str">
        <f t="shared" si="1"/>
        <v/>
      </c>
      <c r="D90" s="723"/>
      <c r="E90" s="723"/>
      <c r="F90" s="723"/>
      <c r="G90" s="731"/>
      <c r="H90" s="732"/>
      <c r="I90" s="805"/>
      <c r="J90" s="733"/>
      <c r="K90" s="733"/>
      <c r="L90" s="807">
        <f t="shared" si="2"/>
        <v>8</v>
      </c>
      <c r="M90" s="807">
        <f t="shared" si="0"/>
        <v>2</v>
      </c>
      <c r="N90" s="807" t="str">
        <f t="shared" si="3"/>
        <v>×</v>
      </c>
      <c r="O90" s="1023"/>
      <c r="R90" s="192"/>
    </row>
    <row r="91" spans="2:18" ht="24" customHeight="1">
      <c r="B91" s="336">
        <v>55</v>
      </c>
      <c r="C91" s="724" t="str">
        <f t="shared" si="1"/>
        <v/>
      </c>
      <c r="D91" s="723"/>
      <c r="E91" s="723"/>
      <c r="F91" s="723"/>
      <c r="G91" s="731"/>
      <c r="H91" s="732"/>
      <c r="I91" s="805"/>
      <c r="J91" s="733"/>
      <c r="K91" s="733"/>
      <c r="L91" s="807">
        <f t="shared" si="2"/>
        <v>8</v>
      </c>
      <c r="M91" s="807">
        <f t="shared" si="0"/>
        <v>2</v>
      </c>
      <c r="N91" s="807" t="str">
        <f t="shared" si="3"/>
        <v>×</v>
      </c>
      <c r="O91" s="1023"/>
      <c r="R91" s="192"/>
    </row>
    <row r="92" spans="2:18" ht="24" customHeight="1">
      <c r="B92" s="336">
        <v>56</v>
      </c>
      <c r="C92" s="724" t="str">
        <f t="shared" si="1"/>
        <v/>
      </c>
      <c r="D92" s="723"/>
      <c r="E92" s="723"/>
      <c r="F92" s="723"/>
      <c r="G92" s="731"/>
      <c r="H92" s="732"/>
      <c r="I92" s="805"/>
      <c r="J92" s="733"/>
      <c r="K92" s="733"/>
      <c r="L92" s="807">
        <f t="shared" si="2"/>
        <v>8</v>
      </c>
      <c r="M92" s="807">
        <f t="shared" si="0"/>
        <v>2</v>
      </c>
      <c r="N92" s="807" t="str">
        <f t="shared" si="3"/>
        <v>×</v>
      </c>
      <c r="O92" s="1023"/>
      <c r="R92" s="192"/>
    </row>
    <row r="93" spans="2:18" ht="24" customHeight="1">
      <c r="B93" s="336">
        <v>57</v>
      </c>
      <c r="C93" s="724" t="str">
        <f t="shared" si="1"/>
        <v/>
      </c>
      <c r="D93" s="723"/>
      <c r="E93" s="723"/>
      <c r="F93" s="723"/>
      <c r="G93" s="731"/>
      <c r="H93" s="732"/>
      <c r="I93" s="805"/>
      <c r="J93" s="733"/>
      <c r="K93" s="733"/>
      <c r="L93" s="807">
        <f t="shared" si="2"/>
        <v>8</v>
      </c>
      <c r="M93" s="807">
        <f t="shared" si="0"/>
        <v>2</v>
      </c>
      <c r="N93" s="807" t="str">
        <f t="shared" si="3"/>
        <v>×</v>
      </c>
      <c r="O93" s="1023"/>
      <c r="R93" s="192"/>
    </row>
    <row r="94" spans="2:18" ht="24" customHeight="1">
      <c r="B94" s="336">
        <v>58</v>
      </c>
      <c r="C94" s="724" t="str">
        <f t="shared" si="1"/>
        <v/>
      </c>
      <c r="D94" s="723"/>
      <c r="E94" s="723"/>
      <c r="F94" s="723"/>
      <c r="G94" s="731"/>
      <c r="H94" s="732"/>
      <c r="I94" s="805"/>
      <c r="J94" s="733"/>
      <c r="K94" s="733"/>
      <c r="L94" s="807">
        <f t="shared" si="2"/>
        <v>8</v>
      </c>
      <c r="M94" s="807">
        <f t="shared" si="0"/>
        <v>2</v>
      </c>
      <c r="N94" s="807" t="str">
        <f t="shared" si="3"/>
        <v>×</v>
      </c>
      <c r="O94" s="1023"/>
      <c r="R94" s="192"/>
    </row>
    <row r="95" spans="2:18" ht="24" customHeight="1">
      <c r="B95" s="336">
        <v>59</v>
      </c>
      <c r="C95" s="724" t="str">
        <f t="shared" si="1"/>
        <v/>
      </c>
      <c r="D95" s="723"/>
      <c r="E95" s="723"/>
      <c r="F95" s="723"/>
      <c r="G95" s="731"/>
      <c r="H95" s="732"/>
      <c r="I95" s="805"/>
      <c r="J95" s="733"/>
      <c r="K95" s="733"/>
      <c r="L95" s="807">
        <f t="shared" si="2"/>
        <v>8</v>
      </c>
      <c r="M95" s="807">
        <f t="shared" si="0"/>
        <v>2</v>
      </c>
      <c r="N95" s="807" t="str">
        <f t="shared" si="3"/>
        <v>×</v>
      </c>
      <c r="O95" s="1023"/>
      <c r="R95" s="192"/>
    </row>
    <row r="96" spans="2:18" ht="24" customHeight="1">
      <c r="B96" s="336">
        <v>60</v>
      </c>
      <c r="C96" s="724" t="str">
        <f t="shared" si="1"/>
        <v/>
      </c>
      <c r="D96" s="723"/>
      <c r="E96" s="723"/>
      <c r="F96" s="723"/>
      <c r="G96" s="731"/>
      <c r="H96" s="732"/>
      <c r="I96" s="805"/>
      <c r="J96" s="733"/>
      <c r="K96" s="733"/>
      <c r="L96" s="807">
        <f t="shared" si="2"/>
        <v>8</v>
      </c>
      <c r="M96" s="807">
        <f t="shared" si="0"/>
        <v>2</v>
      </c>
      <c r="N96" s="807" t="str">
        <f t="shared" si="3"/>
        <v>×</v>
      </c>
      <c r="O96" s="1023"/>
      <c r="R96" s="192"/>
    </row>
    <row r="97" spans="2:18" ht="24" customHeight="1">
      <c r="B97" s="336">
        <v>61</v>
      </c>
      <c r="C97" s="724" t="str">
        <f t="shared" si="1"/>
        <v/>
      </c>
      <c r="D97" s="723"/>
      <c r="E97" s="723"/>
      <c r="F97" s="723"/>
      <c r="G97" s="731"/>
      <c r="H97" s="732"/>
      <c r="I97" s="805"/>
      <c r="J97" s="733"/>
      <c r="K97" s="733"/>
      <c r="L97" s="807">
        <f t="shared" si="2"/>
        <v>8</v>
      </c>
      <c r="M97" s="807">
        <f t="shared" si="0"/>
        <v>2</v>
      </c>
      <c r="N97" s="807" t="str">
        <f t="shared" si="3"/>
        <v>×</v>
      </c>
      <c r="O97" s="1023"/>
      <c r="R97" s="192"/>
    </row>
    <row r="98" spans="2:18" ht="24" customHeight="1">
      <c r="B98" s="336">
        <v>62</v>
      </c>
      <c r="C98" s="724" t="str">
        <f t="shared" si="1"/>
        <v/>
      </c>
      <c r="D98" s="723"/>
      <c r="E98" s="723"/>
      <c r="F98" s="723"/>
      <c r="G98" s="731"/>
      <c r="H98" s="732"/>
      <c r="I98" s="805"/>
      <c r="J98" s="733"/>
      <c r="K98" s="733"/>
      <c r="L98" s="807">
        <f t="shared" si="2"/>
        <v>8</v>
      </c>
      <c r="M98" s="807">
        <f t="shared" si="0"/>
        <v>2</v>
      </c>
      <c r="N98" s="807" t="str">
        <f t="shared" si="3"/>
        <v>×</v>
      </c>
      <c r="O98" s="1023"/>
      <c r="R98" s="192"/>
    </row>
    <row r="99" spans="2:18" ht="24" customHeight="1">
      <c r="B99" s="336">
        <v>63</v>
      </c>
      <c r="C99" s="724" t="str">
        <f t="shared" si="1"/>
        <v/>
      </c>
      <c r="D99" s="723"/>
      <c r="E99" s="723"/>
      <c r="F99" s="723"/>
      <c r="G99" s="731"/>
      <c r="H99" s="732"/>
      <c r="I99" s="805"/>
      <c r="J99" s="733"/>
      <c r="K99" s="733"/>
      <c r="L99" s="807">
        <f t="shared" si="2"/>
        <v>8</v>
      </c>
      <c r="M99" s="807">
        <f t="shared" si="0"/>
        <v>2</v>
      </c>
      <c r="N99" s="807" t="str">
        <f t="shared" si="3"/>
        <v>×</v>
      </c>
      <c r="O99" s="1023"/>
      <c r="R99" s="192"/>
    </row>
    <row r="100" spans="2:18" ht="24" customHeight="1">
      <c r="B100" s="336">
        <v>64</v>
      </c>
      <c r="C100" s="724" t="str">
        <f t="shared" si="1"/>
        <v/>
      </c>
      <c r="D100" s="723"/>
      <c r="E100" s="723"/>
      <c r="F100" s="723"/>
      <c r="G100" s="731"/>
      <c r="H100" s="732"/>
      <c r="I100" s="805"/>
      <c r="J100" s="733"/>
      <c r="K100" s="733"/>
      <c r="L100" s="807">
        <f t="shared" si="2"/>
        <v>8</v>
      </c>
      <c r="M100" s="807">
        <f t="shared" si="0"/>
        <v>2</v>
      </c>
      <c r="N100" s="807" t="str">
        <f t="shared" si="3"/>
        <v>×</v>
      </c>
      <c r="O100" s="1023"/>
      <c r="R100" s="192"/>
    </row>
    <row r="101" spans="2:18" ht="24" customHeight="1">
      <c r="B101" s="336">
        <v>65</v>
      </c>
      <c r="C101" s="724" t="str">
        <f t="shared" si="1"/>
        <v/>
      </c>
      <c r="D101" s="723"/>
      <c r="E101" s="723"/>
      <c r="F101" s="723"/>
      <c r="G101" s="731"/>
      <c r="H101" s="732"/>
      <c r="I101" s="805"/>
      <c r="J101" s="733"/>
      <c r="K101" s="733"/>
      <c r="L101" s="807">
        <f t="shared" si="2"/>
        <v>8</v>
      </c>
      <c r="M101" s="807">
        <f t="shared" ref="M101:M136" si="4">IF(L101=0,1,IF(L101=8,2,0))</f>
        <v>2</v>
      </c>
      <c r="N101" s="807" t="str">
        <f t="shared" si="3"/>
        <v>×</v>
      </c>
      <c r="O101" s="1023"/>
      <c r="R101" s="192"/>
    </row>
    <row r="102" spans="2:18" ht="24" customHeight="1">
      <c r="B102" s="336">
        <v>66</v>
      </c>
      <c r="C102" s="724" t="str">
        <f t="shared" ref="C102:C136" si="5">IF(N102="×","",IF(M102&lt;&gt;1,"※",""))</f>
        <v/>
      </c>
      <c r="D102" s="723"/>
      <c r="E102" s="723"/>
      <c r="F102" s="723"/>
      <c r="G102" s="731"/>
      <c r="H102" s="732"/>
      <c r="I102" s="805"/>
      <c r="J102" s="733"/>
      <c r="K102" s="733"/>
      <c r="L102" s="807">
        <f t="shared" ref="L102:L136" si="6">COUNTBLANK($D102:$K102)</f>
        <v>8</v>
      </c>
      <c r="M102" s="807">
        <f t="shared" si="4"/>
        <v>2</v>
      </c>
      <c r="N102" s="807" t="str">
        <f t="shared" ref="N102:N136" si="7">IF($F$25&gt;=B102,"○","×")</f>
        <v>×</v>
      </c>
      <c r="O102" s="1023"/>
      <c r="R102" s="192"/>
    </row>
    <row r="103" spans="2:18" ht="24" customHeight="1">
      <c r="B103" s="336">
        <v>67</v>
      </c>
      <c r="C103" s="724" t="str">
        <f t="shared" si="5"/>
        <v/>
      </c>
      <c r="D103" s="723"/>
      <c r="E103" s="723"/>
      <c r="F103" s="723"/>
      <c r="G103" s="731"/>
      <c r="H103" s="732"/>
      <c r="I103" s="805"/>
      <c r="J103" s="733"/>
      <c r="K103" s="733"/>
      <c r="L103" s="807">
        <f t="shared" si="6"/>
        <v>8</v>
      </c>
      <c r="M103" s="807">
        <f t="shared" si="4"/>
        <v>2</v>
      </c>
      <c r="N103" s="807" t="str">
        <f t="shared" si="7"/>
        <v>×</v>
      </c>
      <c r="O103" s="1023"/>
      <c r="R103" s="192"/>
    </row>
    <row r="104" spans="2:18" ht="24" customHeight="1">
      <c r="B104" s="336">
        <v>68</v>
      </c>
      <c r="C104" s="724" t="str">
        <f t="shared" si="5"/>
        <v/>
      </c>
      <c r="D104" s="723"/>
      <c r="E104" s="723"/>
      <c r="F104" s="723"/>
      <c r="G104" s="731"/>
      <c r="H104" s="732"/>
      <c r="I104" s="805"/>
      <c r="J104" s="733"/>
      <c r="K104" s="733"/>
      <c r="L104" s="807">
        <f t="shared" si="6"/>
        <v>8</v>
      </c>
      <c r="M104" s="807">
        <f t="shared" si="4"/>
        <v>2</v>
      </c>
      <c r="N104" s="807" t="str">
        <f t="shared" si="7"/>
        <v>×</v>
      </c>
      <c r="O104" s="1023"/>
      <c r="R104" s="192"/>
    </row>
    <row r="105" spans="2:18" ht="24" customHeight="1">
      <c r="B105" s="336">
        <v>69</v>
      </c>
      <c r="C105" s="724" t="str">
        <f t="shared" si="5"/>
        <v/>
      </c>
      <c r="D105" s="723"/>
      <c r="E105" s="723"/>
      <c r="F105" s="723"/>
      <c r="G105" s="731"/>
      <c r="H105" s="732"/>
      <c r="I105" s="805"/>
      <c r="J105" s="733"/>
      <c r="K105" s="733"/>
      <c r="L105" s="807">
        <f t="shared" si="6"/>
        <v>8</v>
      </c>
      <c r="M105" s="807">
        <f t="shared" si="4"/>
        <v>2</v>
      </c>
      <c r="N105" s="807" t="str">
        <f t="shared" si="7"/>
        <v>×</v>
      </c>
      <c r="O105" s="1023"/>
      <c r="R105" s="192"/>
    </row>
    <row r="106" spans="2:18" ht="24" customHeight="1">
      <c r="B106" s="336">
        <v>70</v>
      </c>
      <c r="C106" s="724" t="str">
        <f t="shared" si="5"/>
        <v/>
      </c>
      <c r="D106" s="723"/>
      <c r="E106" s="723"/>
      <c r="F106" s="723"/>
      <c r="G106" s="731"/>
      <c r="H106" s="732"/>
      <c r="I106" s="805"/>
      <c r="J106" s="733"/>
      <c r="K106" s="733"/>
      <c r="L106" s="807">
        <f t="shared" si="6"/>
        <v>8</v>
      </c>
      <c r="M106" s="807">
        <f t="shared" si="4"/>
        <v>2</v>
      </c>
      <c r="N106" s="807" t="str">
        <f t="shared" si="7"/>
        <v>×</v>
      </c>
      <c r="O106" s="1023"/>
      <c r="R106" s="192"/>
    </row>
    <row r="107" spans="2:18" ht="24" customHeight="1">
      <c r="B107" s="336">
        <v>71</v>
      </c>
      <c r="C107" s="724" t="str">
        <f t="shared" si="5"/>
        <v/>
      </c>
      <c r="D107" s="723"/>
      <c r="E107" s="723"/>
      <c r="F107" s="723"/>
      <c r="G107" s="731"/>
      <c r="H107" s="732"/>
      <c r="I107" s="805"/>
      <c r="J107" s="733"/>
      <c r="K107" s="733"/>
      <c r="L107" s="807">
        <f t="shared" si="6"/>
        <v>8</v>
      </c>
      <c r="M107" s="807">
        <f t="shared" si="4"/>
        <v>2</v>
      </c>
      <c r="N107" s="807" t="str">
        <f t="shared" si="7"/>
        <v>×</v>
      </c>
      <c r="O107" s="1023"/>
      <c r="R107" s="192"/>
    </row>
    <row r="108" spans="2:18" ht="24" customHeight="1">
      <c r="B108" s="336">
        <v>72</v>
      </c>
      <c r="C108" s="724" t="str">
        <f t="shared" si="5"/>
        <v/>
      </c>
      <c r="D108" s="723"/>
      <c r="E108" s="723"/>
      <c r="F108" s="723"/>
      <c r="G108" s="731"/>
      <c r="H108" s="732"/>
      <c r="I108" s="805"/>
      <c r="J108" s="733"/>
      <c r="K108" s="733"/>
      <c r="L108" s="807">
        <f t="shared" si="6"/>
        <v>8</v>
      </c>
      <c r="M108" s="807">
        <f t="shared" si="4"/>
        <v>2</v>
      </c>
      <c r="N108" s="807" t="str">
        <f t="shared" si="7"/>
        <v>×</v>
      </c>
      <c r="O108" s="1023"/>
      <c r="R108" s="192"/>
    </row>
    <row r="109" spans="2:18" ht="24" customHeight="1">
      <c r="B109" s="336">
        <v>73</v>
      </c>
      <c r="C109" s="724" t="str">
        <f t="shared" si="5"/>
        <v/>
      </c>
      <c r="D109" s="723"/>
      <c r="E109" s="723"/>
      <c r="F109" s="723"/>
      <c r="G109" s="731"/>
      <c r="H109" s="732"/>
      <c r="I109" s="805"/>
      <c r="J109" s="733"/>
      <c r="K109" s="733"/>
      <c r="L109" s="807">
        <f t="shared" si="6"/>
        <v>8</v>
      </c>
      <c r="M109" s="807">
        <f t="shared" si="4"/>
        <v>2</v>
      </c>
      <c r="N109" s="807" t="str">
        <f t="shared" si="7"/>
        <v>×</v>
      </c>
      <c r="O109" s="1023"/>
      <c r="R109" s="192"/>
    </row>
    <row r="110" spans="2:18" ht="24" customHeight="1">
      <c r="B110" s="336">
        <v>74</v>
      </c>
      <c r="C110" s="724" t="str">
        <f t="shared" si="5"/>
        <v/>
      </c>
      <c r="D110" s="723"/>
      <c r="E110" s="723"/>
      <c r="F110" s="723"/>
      <c r="G110" s="731"/>
      <c r="H110" s="732"/>
      <c r="I110" s="805"/>
      <c r="J110" s="733"/>
      <c r="K110" s="733"/>
      <c r="L110" s="807">
        <f t="shared" si="6"/>
        <v>8</v>
      </c>
      <c r="M110" s="807">
        <f t="shared" si="4"/>
        <v>2</v>
      </c>
      <c r="N110" s="807" t="str">
        <f t="shared" si="7"/>
        <v>×</v>
      </c>
      <c r="O110" s="1023"/>
      <c r="R110" s="192"/>
    </row>
    <row r="111" spans="2:18" ht="24" customHeight="1">
      <c r="B111" s="336">
        <v>75</v>
      </c>
      <c r="C111" s="724" t="str">
        <f t="shared" si="5"/>
        <v/>
      </c>
      <c r="D111" s="723"/>
      <c r="E111" s="723"/>
      <c r="F111" s="723"/>
      <c r="G111" s="731"/>
      <c r="H111" s="732"/>
      <c r="I111" s="805"/>
      <c r="J111" s="733"/>
      <c r="K111" s="733"/>
      <c r="L111" s="807">
        <f t="shared" si="6"/>
        <v>8</v>
      </c>
      <c r="M111" s="807">
        <f t="shared" si="4"/>
        <v>2</v>
      </c>
      <c r="N111" s="807" t="str">
        <f t="shared" si="7"/>
        <v>×</v>
      </c>
      <c r="O111" s="1023"/>
      <c r="R111" s="192"/>
    </row>
    <row r="112" spans="2:18" ht="24" customHeight="1">
      <c r="B112" s="336">
        <v>76</v>
      </c>
      <c r="C112" s="724" t="str">
        <f t="shared" si="5"/>
        <v/>
      </c>
      <c r="D112" s="723"/>
      <c r="E112" s="723"/>
      <c r="F112" s="723"/>
      <c r="G112" s="731"/>
      <c r="H112" s="732"/>
      <c r="I112" s="805"/>
      <c r="J112" s="733"/>
      <c r="K112" s="733"/>
      <c r="L112" s="807">
        <f t="shared" si="6"/>
        <v>8</v>
      </c>
      <c r="M112" s="807">
        <f t="shared" si="4"/>
        <v>2</v>
      </c>
      <c r="N112" s="807" t="str">
        <f t="shared" si="7"/>
        <v>×</v>
      </c>
      <c r="O112" s="1023"/>
      <c r="R112" s="192"/>
    </row>
    <row r="113" spans="2:18" ht="24" customHeight="1">
      <c r="B113" s="336">
        <v>77</v>
      </c>
      <c r="C113" s="724" t="str">
        <f t="shared" si="5"/>
        <v/>
      </c>
      <c r="D113" s="723"/>
      <c r="E113" s="723"/>
      <c r="F113" s="723"/>
      <c r="G113" s="731"/>
      <c r="H113" s="732"/>
      <c r="I113" s="805"/>
      <c r="J113" s="733"/>
      <c r="K113" s="733"/>
      <c r="L113" s="807">
        <f t="shared" si="6"/>
        <v>8</v>
      </c>
      <c r="M113" s="807">
        <f t="shared" si="4"/>
        <v>2</v>
      </c>
      <c r="N113" s="807" t="str">
        <f t="shared" si="7"/>
        <v>×</v>
      </c>
      <c r="O113" s="1023"/>
      <c r="R113" s="192"/>
    </row>
    <row r="114" spans="2:18" ht="24" customHeight="1">
      <c r="B114" s="336">
        <v>78</v>
      </c>
      <c r="C114" s="724" t="str">
        <f t="shared" si="5"/>
        <v/>
      </c>
      <c r="D114" s="723"/>
      <c r="E114" s="723"/>
      <c r="F114" s="723"/>
      <c r="G114" s="731"/>
      <c r="H114" s="732"/>
      <c r="I114" s="805"/>
      <c r="J114" s="733"/>
      <c r="K114" s="733"/>
      <c r="L114" s="807">
        <f t="shared" si="6"/>
        <v>8</v>
      </c>
      <c r="M114" s="807">
        <f t="shared" si="4"/>
        <v>2</v>
      </c>
      <c r="N114" s="807" t="str">
        <f t="shared" si="7"/>
        <v>×</v>
      </c>
      <c r="O114" s="1023"/>
      <c r="R114" s="192"/>
    </row>
    <row r="115" spans="2:18" ht="24" customHeight="1">
      <c r="B115" s="336">
        <v>79</v>
      </c>
      <c r="C115" s="724" t="str">
        <f t="shared" si="5"/>
        <v/>
      </c>
      <c r="D115" s="723"/>
      <c r="E115" s="723"/>
      <c r="F115" s="723"/>
      <c r="G115" s="731"/>
      <c r="H115" s="732"/>
      <c r="I115" s="805"/>
      <c r="J115" s="733"/>
      <c r="K115" s="733"/>
      <c r="L115" s="807">
        <f t="shared" si="6"/>
        <v>8</v>
      </c>
      <c r="M115" s="807">
        <f t="shared" si="4"/>
        <v>2</v>
      </c>
      <c r="N115" s="807" t="str">
        <f t="shared" si="7"/>
        <v>×</v>
      </c>
      <c r="O115" s="1023"/>
      <c r="R115" s="192"/>
    </row>
    <row r="116" spans="2:18" ht="24" customHeight="1">
      <c r="B116" s="336">
        <v>80</v>
      </c>
      <c r="C116" s="724" t="str">
        <f t="shared" si="5"/>
        <v/>
      </c>
      <c r="D116" s="723"/>
      <c r="E116" s="723"/>
      <c r="F116" s="723"/>
      <c r="G116" s="731"/>
      <c r="H116" s="732"/>
      <c r="I116" s="805"/>
      <c r="J116" s="733"/>
      <c r="K116" s="733"/>
      <c r="L116" s="807">
        <f t="shared" si="6"/>
        <v>8</v>
      </c>
      <c r="M116" s="807">
        <f t="shared" si="4"/>
        <v>2</v>
      </c>
      <c r="N116" s="807" t="str">
        <f t="shared" si="7"/>
        <v>×</v>
      </c>
      <c r="O116" s="1023"/>
      <c r="R116" s="192"/>
    </row>
    <row r="117" spans="2:18" ht="24" customHeight="1">
      <c r="B117" s="336">
        <v>81</v>
      </c>
      <c r="C117" s="724" t="str">
        <f t="shared" si="5"/>
        <v/>
      </c>
      <c r="D117" s="723"/>
      <c r="E117" s="723"/>
      <c r="F117" s="723"/>
      <c r="G117" s="731"/>
      <c r="H117" s="732"/>
      <c r="I117" s="805"/>
      <c r="J117" s="733"/>
      <c r="K117" s="733"/>
      <c r="L117" s="807">
        <f t="shared" si="6"/>
        <v>8</v>
      </c>
      <c r="M117" s="807">
        <f t="shared" si="4"/>
        <v>2</v>
      </c>
      <c r="N117" s="807" t="str">
        <f t="shared" si="7"/>
        <v>×</v>
      </c>
      <c r="O117" s="1023"/>
      <c r="R117" s="192"/>
    </row>
    <row r="118" spans="2:18" ht="24" customHeight="1">
      <c r="B118" s="336">
        <v>82</v>
      </c>
      <c r="C118" s="724" t="str">
        <f t="shared" si="5"/>
        <v/>
      </c>
      <c r="D118" s="723"/>
      <c r="E118" s="723"/>
      <c r="F118" s="723"/>
      <c r="G118" s="731"/>
      <c r="H118" s="732"/>
      <c r="I118" s="805"/>
      <c r="J118" s="733"/>
      <c r="K118" s="733"/>
      <c r="L118" s="807">
        <f t="shared" si="6"/>
        <v>8</v>
      </c>
      <c r="M118" s="807">
        <f t="shared" si="4"/>
        <v>2</v>
      </c>
      <c r="N118" s="807" t="str">
        <f t="shared" si="7"/>
        <v>×</v>
      </c>
      <c r="O118" s="1023"/>
      <c r="R118" s="192"/>
    </row>
    <row r="119" spans="2:18" ht="24" customHeight="1">
      <c r="B119" s="336">
        <v>83</v>
      </c>
      <c r="C119" s="724" t="str">
        <f t="shared" si="5"/>
        <v/>
      </c>
      <c r="D119" s="723"/>
      <c r="E119" s="723"/>
      <c r="F119" s="723"/>
      <c r="G119" s="731"/>
      <c r="H119" s="732"/>
      <c r="I119" s="805"/>
      <c r="J119" s="733"/>
      <c r="K119" s="733"/>
      <c r="L119" s="807">
        <f t="shared" si="6"/>
        <v>8</v>
      </c>
      <c r="M119" s="807">
        <f t="shared" si="4"/>
        <v>2</v>
      </c>
      <c r="N119" s="807" t="str">
        <f t="shared" si="7"/>
        <v>×</v>
      </c>
      <c r="O119" s="1023"/>
      <c r="R119" s="192"/>
    </row>
    <row r="120" spans="2:18" ht="24" customHeight="1">
      <c r="B120" s="336">
        <v>84</v>
      </c>
      <c r="C120" s="724" t="str">
        <f t="shared" si="5"/>
        <v/>
      </c>
      <c r="D120" s="723"/>
      <c r="E120" s="723"/>
      <c r="F120" s="723"/>
      <c r="G120" s="731"/>
      <c r="H120" s="732"/>
      <c r="I120" s="805"/>
      <c r="J120" s="733"/>
      <c r="K120" s="733"/>
      <c r="L120" s="807">
        <f t="shared" si="6"/>
        <v>8</v>
      </c>
      <c r="M120" s="807">
        <f t="shared" si="4"/>
        <v>2</v>
      </c>
      <c r="N120" s="807" t="str">
        <f t="shared" si="7"/>
        <v>×</v>
      </c>
      <c r="O120" s="1023"/>
      <c r="R120" s="192"/>
    </row>
    <row r="121" spans="2:18" ht="24" customHeight="1">
      <c r="B121" s="336">
        <v>85</v>
      </c>
      <c r="C121" s="724" t="str">
        <f t="shared" si="5"/>
        <v/>
      </c>
      <c r="D121" s="723"/>
      <c r="E121" s="723"/>
      <c r="F121" s="723"/>
      <c r="G121" s="731"/>
      <c r="H121" s="732"/>
      <c r="I121" s="805"/>
      <c r="J121" s="733"/>
      <c r="K121" s="733"/>
      <c r="L121" s="807">
        <f t="shared" si="6"/>
        <v>8</v>
      </c>
      <c r="M121" s="807">
        <f t="shared" si="4"/>
        <v>2</v>
      </c>
      <c r="N121" s="807" t="str">
        <f t="shared" si="7"/>
        <v>×</v>
      </c>
      <c r="O121" s="1023"/>
      <c r="R121" s="192"/>
    </row>
    <row r="122" spans="2:18" ht="24" customHeight="1">
      <c r="B122" s="336">
        <v>86</v>
      </c>
      <c r="C122" s="724" t="str">
        <f t="shared" si="5"/>
        <v/>
      </c>
      <c r="D122" s="723"/>
      <c r="E122" s="723"/>
      <c r="F122" s="723"/>
      <c r="G122" s="731"/>
      <c r="H122" s="732"/>
      <c r="I122" s="805"/>
      <c r="J122" s="733"/>
      <c r="K122" s="733"/>
      <c r="L122" s="807">
        <f t="shared" si="6"/>
        <v>8</v>
      </c>
      <c r="M122" s="807">
        <f t="shared" si="4"/>
        <v>2</v>
      </c>
      <c r="N122" s="807" t="str">
        <f t="shared" si="7"/>
        <v>×</v>
      </c>
      <c r="O122" s="1023"/>
      <c r="R122" s="192"/>
    </row>
    <row r="123" spans="2:18" ht="24" customHeight="1">
      <c r="B123" s="336">
        <v>87</v>
      </c>
      <c r="C123" s="724" t="str">
        <f t="shared" si="5"/>
        <v/>
      </c>
      <c r="D123" s="723"/>
      <c r="E123" s="723"/>
      <c r="F123" s="723"/>
      <c r="G123" s="731"/>
      <c r="H123" s="732"/>
      <c r="I123" s="805"/>
      <c r="J123" s="733"/>
      <c r="K123" s="733"/>
      <c r="L123" s="807">
        <f t="shared" si="6"/>
        <v>8</v>
      </c>
      <c r="M123" s="807">
        <f t="shared" si="4"/>
        <v>2</v>
      </c>
      <c r="N123" s="807" t="str">
        <f t="shared" si="7"/>
        <v>×</v>
      </c>
      <c r="O123" s="1023"/>
      <c r="R123" s="192"/>
    </row>
    <row r="124" spans="2:18" ht="24" customHeight="1">
      <c r="B124" s="336">
        <v>88</v>
      </c>
      <c r="C124" s="724" t="str">
        <f t="shared" si="5"/>
        <v/>
      </c>
      <c r="D124" s="723"/>
      <c r="E124" s="723"/>
      <c r="F124" s="723"/>
      <c r="G124" s="731"/>
      <c r="H124" s="732"/>
      <c r="I124" s="805"/>
      <c r="J124" s="733"/>
      <c r="K124" s="733"/>
      <c r="L124" s="807">
        <f t="shared" si="6"/>
        <v>8</v>
      </c>
      <c r="M124" s="807">
        <f t="shared" si="4"/>
        <v>2</v>
      </c>
      <c r="N124" s="807" t="str">
        <f t="shared" si="7"/>
        <v>×</v>
      </c>
      <c r="O124" s="1023"/>
      <c r="R124" s="192"/>
    </row>
    <row r="125" spans="2:18" ht="24" customHeight="1">
      <c r="B125" s="336">
        <v>89</v>
      </c>
      <c r="C125" s="724" t="str">
        <f t="shared" si="5"/>
        <v/>
      </c>
      <c r="D125" s="723"/>
      <c r="E125" s="723"/>
      <c r="F125" s="723"/>
      <c r="G125" s="731"/>
      <c r="H125" s="732"/>
      <c r="I125" s="805"/>
      <c r="J125" s="733"/>
      <c r="K125" s="733"/>
      <c r="L125" s="807">
        <f t="shared" si="6"/>
        <v>8</v>
      </c>
      <c r="M125" s="807">
        <f t="shared" si="4"/>
        <v>2</v>
      </c>
      <c r="N125" s="807" t="str">
        <f t="shared" si="7"/>
        <v>×</v>
      </c>
      <c r="O125" s="1023"/>
      <c r="R125" s="192"/>
    </row>
    <row r="126" spans="2:18" ht="24" customHeight="1">
      <c r="B126" s="336">
        <v>90</v>
      </c>
      <c r="C126" s="724" t="str">
        <f t="shared" si="5"/>
        <v/>
      </c>
      <c r="D126" s="723"/>
      <c r="E126" s="723"/>
      <c r="F126" s="723"/>
      <c r="G126" s="731"/>
      <c r="H126" s="732"/>
      <c r="I126" s="805"/>
      <c r="J126" s="733"/>
      <c r="K126" s="733"/>
      <c r="L126" s="807">
        <f t="shared" si="6"/>
        <v>8</v>
      </c>
      <c r="M126" s="807">
        <f t="shared" si="4"/>
        <v>2</v>
      </c>
      <c r="N126" s="807" t="str">
        <f t="shared" si="7"/>
        <v>×</v>
      </c>
      <c r="O126" s="1023"/>
      <c r="R126" s="192"/>
    </row>
    <row r="127" spans="2:18" ht="24" customHeight="1">
      <c r="B127" s="336">
        <v>91</v>
      </c>
      <c r="C127" s="724" t="str">
        <f t="shared" si="5"/>
        <v/>
      </c>
      <c r="D127" s="723"/>
      <c r="E127" s="723"/>
      <c r="F127" s="723"/>
      <c r="G127" s="731"/>
      <c r="H127" s="732"/>
      <c r="I127" s="805"/>
      <c r="J127" s="733"/>
      <c r="K127" s="733"/>
      <c r="L127" s="807">
        <f t="shared" si="6"/>
        <v>8</v>
      </c>
      <c r="M127" s="807">
        <f t="shared" si="4"/>
        <v>2</v>
      </c>
      <c r="N127" s="807" t="str">
        <f t="shared" si="7"/>
        <v>×</v>
      </c>
      <c r="O127" s="1023"/>
      <c r="R127" s="192"/>
    </row>
    <row r="128" spans="2:18" ht="24" customHeight="1">
      <c r="B128" s="336">
        <v>92</v>
      </c>
      <c r="C128" s="724" t="str">
        <f t="shared" si="5"/>
        <v/>
      </c>
      <c r="D128" s="723"/>
      <c r="E128" s="723"/>
      <c r="F128" s="723"/>
      <c r="G128" s="731"/>
      <c r="H128" s="732"/>
      <c r="I128" s="805"/>
      <c r="J128" s="733"/>
      <c r="K128" s="733"/>
      <c r="L128" s="807">
        <f t="shared" si="6"/>
        <v>8</v>
      </c>
      <c r="M128" s="807">
        <f t="shared" si="4"/>
        <v>2</v>
      </c>
      <c r="N128" s="807" t="str">
        <f t="shared" si="7"/>
        <v>×</v>
      </c>
      <c r="O128" s="1023"/>
      <c r="R128" s="192"/>
    </row>
    <row r="129" spans="2:19" ht="24" customHeight="1">
      <c r="B129" s="336">
        <v>93</v>
      </c>
      <c r="C129" s="724" t="str">
        <f t="shared" si="5"/>
        <v/>
      </c>
      <c r="D129" s="723"/>
      <c r="E129" s="723"/>
      <c r="F129" s="723"/>
      <c r="G129" s="731"/>
      <c r="H129" s="732"/>
      <c r="I129" s="805"/>
      <c r="J129" s="733"/>
      <c r="K129" s="733"/>
      <c r="L129" s="807">
        <f t="shared" si="6"/>
        <v>8</v>
      </c>
      <c r="M129" s="807">
        <f t="shared" si="4"/>
        <v>2</v>
      </c>
      <c r="N129" s="807" t="str">
        <f t="shared" si="7"/>
        <v>×</v>
      </c>
      <c r="O129" s="1023"/>
      <c r="R129" s="192"/>
    </row>
    <row r="130" spans="2:19" ht="24" customHeight="1">
      <c r="B130" s="336">
        <v>94</v>
      </c>
      <c r="C130" s="724" t="str">
        <f t="shared" si="5"/>
        <v/>
      </c>
      <c r="D130" s="723"/>
      <c r="E130" s="723"/>
      <c r="F130" s="723"/>
      <c r="G130" s="731"/>
      <c r="H130" s="732"/>
      <c r="I130" s="805"/>
      <c r="J130" s="733"/>
      <c r="K130" s="733"/>
      <c r="L130" s="807">
        <f t="shared" si="6"/>
        <v>8</v>
      </c>
      <c r="M130" s="807">
        <f t="shared" si="4"/>
        <v>2</v>
      </c>
      <c r="N130" s="807" t="str">
        <f t="shared" si="7"/>
        <v>×</v>
      </c>
      <c r="O130" s="1023"/>
      <c r="R130" s="192"/>
    </row>
    <row r="131" spans="2:19" ht="24" customHeight="1">
      <c r="B131" s="336">
        <v>95</v>
      </c>
      <c r="C131" s="724" t="str">
        <f t="shared" si="5"/>
        <v/>
      </c>
      <c r="D131" s="723"/>
      <c r="E131" s="723"/>
      <c r="F131" s="723"/>
      <c r="G131" s="731"/>
      <c r="H131" s="732"/>
      <c r="I131" s="805"/>
      <c r="J131" s="733"/>
      <c r="K131" s="733"/>
      <c r="L131" s="807">
        <f t="shared" si="6"/>
        <v>8</v>
      </c>
      <c r="M131" s="807">
        <f t="shared" si="4"/>
        <v>2</v>
      </c>
      <c r="N131" s="807" t="str">
        <f t="shared" si="7"/>
        <v>×</v>
      </c>
      <c r="O131" s="1023"/>
      <c r="R131" s="192"/>
    </row>
    <row r="132" spans="2:19" ht="24" customHeight="1">
      <c r="B132" s="336">
        <v>96</v>
      </c>
      <c r="C132" s="724" t="str">
        <f t="shared" si="5"/>
        <v/>
      </c>
      <c r="D132" s="723"/>
      <c r="E132" s="723"/>
      <c r="F132" s="723"/>
      <c r="G132" s="731"/>
      <c r="H132" s="732"/>
      <c r="I132" s="805"/>
      <c r="J132" s="733"/>
      <c r="K132" s="733"/>
      <c r="L132" s="807">
        <f t="shared" si="6"/>
        <v>8</v>
      </c>
      <c r="M132" s="807">
        <f t="shared" si="4"/>
        <v>2</v>
      </c>
      <c r="N132" s="807" t="str">
        <f t="shared" si="7"/>
        <v>×</v>
      </c>
      <c r="O132" s="1023"/>
      <c r="R132" s="192"/>
    </row>
    <row r="133" spans="2:19" ht="24" customHeight="1">
      <c r="B133" s="336">
        <v>97</v>
      </c>
      <c r="C133" s="724" t="str">
        <f t="shared" si="5"/>
        <v/>
      </c>
      <c r="D133" s="723"/>
      <c r="E133" s="723"/>
      <c r="F133" s="723"/>
      <c r="G133" s="731"/>
      <c r="H133" s="732"/>
      <c r="I133" s="805"/>
      <c r="J133" s="733"/>
      <c r="K133" s="733"/>
      <c r="L133" s="807">
        <f t="shared" si="6"/>
        <v>8</v>
      </c>
      <c r="M133" s="807">
        <f t="shared" si="4"/>
        <v>2</v>
      </c>
      <c r="N133" s="807" t="str">
        <f t="shared" si="7"/>
        <v>×</v>
      </c>
      <c r="O133" s="1023"/>
      <c r="R133" s="192"/>
    </row>
    <row r="134" spans="2:19" ht="24" customHeight="1">
      <c r="B134" s="336">
        <v>98</v>
      </c>
      <c r="C134" s="724" t="str">
        <f t="shared" si="5"/>
        <v/>
      </c>
      <c r="D134" s="723"/>
      <c r="E134" s="723"/>
      <c r="F134" s="723"/>
      <c r="G134" s="731"/>
      <c r="H134" s="732"/>
      <c r="I134" s="805"/>
      <c r="J134" s="733"/>
      <c r="K134" s="733"/>
      <c r="L134" s="807">
        <f t="shared" si="6"/>
        <v>8</v>
      </c>
      <c r="M134" s="807">
        <f t="shared" si="4"/>
        <v>2</v>
      </c>
      <c r="N134" s="807" t="str">
        <f t="shared" si="7"/>
        <v>×</v>
      </c>
      <c r="O134" s="1023"/>
      <c r="R134" s="192"/>
    </row>
    <row r="135" spans="2:19" ht="24" customHeight="1">
      <c r="B135" s="336">
        <v>99</v>
      </c>
      <c r="C135" s="724" t="str">
        <f t="shared" si="5"/>
        <v/>
      </c>
      <c r="D135" s="723"/>
      <c r="E135" s="723"/>
      <c r="F135" s="723"/>
      <c r="G135" s="731"/>
      <c r="H135" s="732"/>
      <c r="I135" s="805"/>
      <c r="J135" s="733"/>
      <c r="K135" s="733"/>
      <c r="L135" s="807">
        <f t="shared" si="6"/>
        <v>8</v>
      </c>
      <c r="M135" s="807">
        <f t="shared" si="4"/>
        <v>2</v>
      </c>
      <c r="N135" s="807" t="str">
        <f t="shared" si="7"/>
        <v>×</v>
      </c>
      <c r="O135" s="1023"/>
      <c r="R135" s="192"/>
    </row>
    <row r="136" spans="2:19" ht="24" customHeight="1">
      <c r="B136" s="336">
        <v>100</v>
      </c>
      <c r="C136" s="724" t="str">
        <f t="shared" si="5"/>
        <v/>
      </c>
      <c r="D136" s="723"/>
      <c r="E136" s="723"/>
      <c r="F136" s="723"/>
      <c r="G136" s="731"/>
      <c r="H136" s="732"/>
      <c r="I136" s="805"/>
      <c r="J136" s="733"/>
      <c r="K136" s="733"/>
      <c r="L136" s="807">
        <f t="shared" si="6"/>
        <v>8</v>
      </c>
      <c r="M136" s="807">
        <f t="shared" si="4"/>
        <v>2</v>
      </c>
      <c r="N136" s="807" t="str">
        <f t="shared" si="7"/>
        <v>×</v>
      </c>
      <c r="O136" s="1023"/>
      <c r="R136" s="192"/>
    </row>
    <row r="137" spans="2:19">
      <c r="B137" s="741"/>
      <c r="C137" s="742"/>
      <c r="D137" s="741"/>
      <c r="E137" s="742"/>
      <c r="F137" s="741"/>
      <c r="G137" s="742"/>
      <c r="H137" s="741"/>
      <c r="I137" s="742"/>
      <c r="J137" s="741"/>
      <c r="K137" s="742"/>
      <c r="L137" s="741"/>
      <c r="M137" s="741"/>
      <c r="N137" s="742"/>
      <c r="O137" s="741"/>
      <c r="P137" s="741"/>
      <c r="Q137" s="741"/>
      <c r="R137" s="742"/>
      <c r="S137" s="741"/>
    </row>
  </sheetData>
  <sheetProtection password="D8D3" sheet="1" objects="1" scenarios="1"/>
  <mergeCells count="20">
    <mergeCell ref="B8:D8"/>
    <mergeCell ref="H34:H36"/>
    <mergeCell ref="M34:M36"/>
    <mergeCell ref="N34:N36"/>
    <mergeCell ref="B7:D7"/>
    <mergeCell ref="O34:O36"/>
    <mergeCell ref="B3:D3"/>
    <mergeCell ref="E3:H3"/>
    <mergeCell ref="B25:D25"/>
    <mergeCell ref="L34:L36"/>
    <mergeCell ref="C34:C36"/>
    <mergeCell ref="D34:D36"/>
    <mergeCell ref="E34:E36"/>
    <mergeCell ref="F34:F36"/>
    <mergeCell ref="G34:G35"/>
    <mergeCell ref="I34:K34"/>
    <mergeCell ref="I35:I36"/>
    <mergeCell ref="J35:J36"/>
    <mergeCell ref="K35:K36"/>
    <mergeCell ref="B34:B36"/>
  </mergeCells>
  <phoneticPr fontId="5"/>
  <dataValidations count="7">
    <dataValidation type="list" allowBlank="1" showInputMessage="1" showErrorMessage="1" sqref="H37:H136" xr:uid="{00000000-0002-0000-0500-000000000000}">
      <formula1>施工地域特性</formula1>
    </dataValidation>
    <dataValidation type="decimal" allowBlank="1" showInputMessage="1" showErrorMessage="1" sqref="G37:G136" xr:uid="{00000000-0002-0000-0500-000001000000}">
      <formula1>0.01</formula1>
      <formula2>1</formula2>
    </dataValidation>
    <dataValidation type="list" allowBlank="1" showInputMessage="1" showErrorMessage="1" sqref="F7:F8" xr:uid="{00000000-0002-0000-0500-000002000000}">
      <formula1>施工分散_有無</formula1>
    </dataValidation>
    <dataValidation type="list" allowBlank="1" showInputMessage="1" showErrorMessage="1" sqref="I37:I136" xr:uid="{00000000-0002-0000-0500-000003000000}">
      <formula1>昼夜</formula1>
    </dataValidation>
    <dataValidation type="list" allowBlank="1" showInputMessage="1" showErrorMessage="1" sqref="J37:J136" xr:uid="{00000000-0002-0000-0500-000004000000}">
      <formula1>路上箇所</formula1>
    </dataValidation>
    <dataValidation type="list" allowBlank="1" showInputMessage="1" showErrorMessage="1" sqref="K37:K136" xr:uid="{00000000-0002-0000-0500-000005000000}">
      <formula1>日々運搬回送</formula1>
    </dataValidation>
    <dataValidation type="whole" allowBlank="1" showInputMessage="1" showErrorMessage="1" sqref="F25" xr:uid="{00000000-0002-0000-0500-000006000000}">
      <formula1>1</formula1>
      <formula2>9999999999</formula2>
    </dataValidation>
  </dataValidations>
  <pageMargins left="0.39370078740157483" right="0.15748031496062992" top="0.59055118110236227" bottom="0.23622047244094491" header="0.31496062992125984" footer="0.15748031496062992"/>
  <pageSetup paperSize="8" scale="80" orientation="portrait" r:id="rId1"/>
  <headerFooter alignWithMargins="0">
    <oddHeader>&amp;L&amp;A</oddHead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99CCFF"/>
  </sheetPr>
  <dimension ref="A1:N787"/>
  <sheetViews>
    <sheetView showGridLines="0" topLeftCell="A2" zoomScale="85" zoomScaleNormal="85" zoomScaleSheetLayoutView="100" workbookViewId="0">
      <selection activeCell="H10" sqref="H10"/>
    </sheetView>
  </sheetViews>
  <sheetFormatPr defaultColWidth="10.625" defaultRowHeight="13.5"/>
  <cols>
    <col min="1" max="1" width="3.5" style="33" bestFit="1" customWidth="1"/>
    <col min="2" max="3" width="3.625" style="33" customWidth="1"/>
    <col min="4" max="5" width="25.625" style="37" customWidth="1"/>
    <col min="6" max="6" width="2.625" style="37" bestFit="1" customWidth="1"/>
    <col min="7" max="7" width="3.375" style="98" bestFit="1" customWidth="1"/>
    <col min="8" max="8" width="15.5" style="33" customWidth="1"/>
    <col min="9" max="9" width="17" style="37" customWidth="1"/>
    <col min="10" max="10" width="2.625" style="110" customWidth="1"/>
    <col min="11" max="11" width="5.75" style="123" customWidth="1"/>
    <col min="12" max="12" width="2.125" style="33" customWidth="1"/>
    <col min="13" max="14" width="10.625" style="33" hidden="1" customWidth="1"/>
    <col min="15" max="16" width="10.625" style="33"/>
    <col min="17" max="17" width="15.25" style="33" customWidth="1"/>
    <col min="18" max="16384" width="10.625" style="33"/>
  </cols>
  <sheetData>
    <row r="1" spans="1:14" ht="18" hidden="1" customHeight="1">
      <c r="A1" s="808"/>
      <c r="B1" s="808">
        <f>COUNTIF($G$8:$G$79,"※")</f>
        <v>12</v>
      </c>
      <c r="C1" s="809" t="s">
        <v>643</v>
      </c>
      <c r="D1" s="808">
        <f>COUNTIF($G$8:$G$79,"E")+COUNTIF($G$8:$G$79,"E ")+COUNTIF($G$8:$G$79," E ")</f>
        <v>0</v>
      </c>
      <c r="J1" s="33"/>
      <c r="L1" s="851"/>
      <c r="M1" s="1448"/>
      <c r="N1" s="1448"/>
    </row>
    <row r="2" spans="1:14" ht="27" customHeight="1">
      <c r="A2" s="851"/>
      <c r="J2" s="33"/>
      <c r="L2" s="851"/>
    </row>
    <row r="3" spans="1:14" ht="24" customHeight="1">
      <c r="A3" s="851"/>
      <c r="C3" s="2277" t="s">
        <v>707</v>
      </c>
      <c r="D3" s="2366"/>
      <c r="E3" s="2357" t="str">
        <f>IF(工事情報!G4="","",工事情報!G4)</f>
        <v/>
      </c>
      <c r="F3" s="2266"/>
      <c r="G3" s="2266"/>
      <c r="H3" s="2266"/>
      <c r="I3" s="2266"/>
      <c r="J3" s="2267"/>
      <c r="L3" s="851"/>
    </row>
    <row r="4" spans="1:14" ht="30" customHeight="1">
      <c r="A4" s="851"/>
      <c r="J4" s="33"/>
      <c r="L4" s="851"/>
    </row>
    <row r="5" spans="1:14" ht="15" customHeight="1">
      <c r="B5" s="4"/>
      <c r="C5" s="144" t="s">
        <v>412</v>
      </c>
      <c r="J5" s="33"/>
    </row>
    <row r="6" spans="1:14" ht="15" customHeight="1">
      <c r="D6" s="72"/>
      <c r="E6" s="72"/>
      <c r="J6" s="35"/>
      <c r="L6" s="855"/>
    </row>
    <row r="7" spans="1:14" ht="13.5" customHeight="1">
      <c r="C7" s="32" t="s">
        <v>830</v>
      </c>
      <c r="D7" s="38"/>
      <c r="E7" s="38"/>
      <c r="F7" s="81"/>
      <c r="G7" s="99"/>
      <c r="H7" s="80" t="s">
        <v>831</v>
      </c>
      <c r="I7" s="38"/>
      <c r="J7" s="36"/>
      <c r="L7" s="855"/>
      <c r="M7" s="144"/>
    </row>
    <row r="8" spans="1:14" ht="24" customHeight="1">
      <c r="C8" s="54">
        <v>1</v>
      </c>
      <c r="D8" s="2463" t="s">
        <v>2065</v>
      </c>
      <c r="E8" s="2464"/>
      <c r="F8" s="172"/>
      <c r="G8" s="572" t="str">
        <f>IF(H8="","※",IF(AND(OR(H9&lt;&gt;0,H10&lt;&gt;0),H8&lt;&gt;"1：補正有り")=TRUE,"E",""))</f>
        <v>※</v>
      </c>
      <c r="H8" s="1778" t="str">
        <f>IF(一般事項!F61="","",一般事項!F61)</f>
        <v/>
      </c>
      <c r="I8" s="2438" t="str">
        <f>IF(G8="E","「一般事項」シートにて『1：補正有り』を選択してください","")</f>
        <v/>
      </c>
      <c r="J8" s="2439"/>
      <c r="L8" s="855"/>
      <c r="M8" s="144"/>
    </row>
    <row r="9" spans="1:14" ht="15" hidden="1" customHeight="1">
      <c r="C9" s="502"/>
      <c r="D9" s="2447" t="s">
        <v>868</v>
      </c>
      <c r="E9" s="2448"/>
      <c r="F9" s="176" t="s">
        <v>633</v>
      </c>
      <c r="G9" s="583"/>
      <c r="H9" s="1114"/>
      <c r="I9" s="53" t="s">
        <v>519</v>
      </c>
      <c r="J9" s="105"/>
      <c r="L9" s="855"/>
      <c r="M9" s="144"/>
    </row>
    <row r="10" spans="1:14" ht="15" customHeight="1">
      <c r="C10" s="55"/>
      <c r="D10" s="2458" t="s">
        <v>1850</v>
      </c>
      <c r="E10" s="2459"/>
      <c r="F10" s="176" t="s">
        <v>633</v>
      </c>
      <c r="G10" s="583" t="str">
        <f>IF(H8="","",IF(AND(H8&lt;&gt;"2：補正無し",H10=""),"※",IF(H10&gt;2,"E","")))</f>
        <v/>
      </c>
      <c r="H10" s="566"/>
      <c r="I10" s="79" t="s">
        <v>792</v>
      </c>
      <c r="J10" s="501"/>
      <c r="K10" s="582" t="str">
        <f>IF(G10="E","積算基準の最大値は2％です。2以下を入力してください。","")</f>
        <v/>
      </c>
    </row>
    <row r="11" spans="1:14" ht="24" customHeight="1">
      <c r="C11" s="54">
        <v>2</v>
      </c>
      <c r="D11" s="2449" t="s">
        <v>989</v>
      </c>
      <c r="E11" s="2450"/>
      <c r="F11" s="172"/>
      <c r="G11" s="173" t="str">
        <f>IF(H11="","※",IF(AND(OR(H12&lt;&gt;"",H13&lt;&gt;"",H21&lt;&gt;"")=TRUE,H11&lt;&gt;"YES")=TRUE,"E",""))</f>
        <v>※</v>
      </c>
      <c r="H11" s="209"/>
      <c r="I11" s="117" t="str">
        <f>IF(G11="E","YESを選択してください","")</f>
        <v/>
      </c>
      <c r="J11" s="103"/>
      <c r="K11" s="625"/>
    </row>
    <row r="12" spans="1:14">
      <c r="C12" s="77"/>
      <c r="D12" s="2472" t="s">
        <v>991</v>
      </c>
      <c r="E12" s="2473"/>
      <c r="F12" s="176"/>
      <c r="G12" s="583" t="str">
        <f>IF(H11="","",IF(AND(H11="YES",H12=""),"※",""))</f>
        <v/>
      </c>
      <c r="H12" s="127"/>
      <c r="I12" s="52"/>
      <c r="J12" s="105"/>
      <c r="K12" s="626"/>
    </row>
    <row r="13" spans="1:14">
      <c r="C13" s="77"/>
      <c r="D13" s="2457" t="s">
        <v>990</v>
      </c>
      <c r="E13" s="2471"/>
      <c r="F13" s="176"/>
      <c r="G13" s="170" t="str">
        <f>IF(H11="","",IF(AND(H11="YES",H13=""),"※",""))</f>
        <v/>
      </c>
      <c r="H13" s="1480"/>
      <c r="I13" s="52"/>
      <c r="J13" s="105"/>
      <c r="K13" s="626"/>
    </row>
    <row r="14" spans="1:14">
      <c r="C14" s="77"/>
      <c r="D14" s="1801"/>
      <c r="E14" s="1439" t="s">
        <v>1712</v>
      </c>
      <c r="F14" s="1435"/>
      <c r="G14" s="1436" t="str">
        <f>IF(H11="","",IF(AND(H11="YES",H14=""),"※",""))</f>
        <v/>
      </c>
      <c r="H14" s="1440"/>
      <c r="I14" s="1437" t="s">
        <v>1766</v>
      </c>
      <c r="J14" s="1441"/>
      <c r="K14" s="1486" t="s">
        <v>1713</v>
      </c>
    </row>
    <row r="15" spans="1:14">
      <c r="C15" s="77"/>
      <c r="D15" s="1801"/>
      <c r="E15" s="1439" t="s">
        <v>2098</v>
      </c>
      <c r="F15" s="176"/>
      <c r="G15" s="1481" t="str">
        <f>IF(H11="","",IF(AND(H11="YES",H15=""),"※",""))</f>
        <v/>
      </c>
      <c r="H15" s="1447"/>
      <c r="I15" s="1437"/>
      <c r="J15" s="1438"/>
      <c r="K15" s="626"/>
    </row>
    <row r="16" spans="1:14">
      <c r="C16" s="77"/>
      <c r="D16" s="2457" t="s">
        <v>2066</v>
      </c>
      <c r="E16" s="2462"/>
      <c r="F16" s="1435"/>
      <c r="G16" s="170" t="str">
        <f>IF(H16="",IF(AND(H11="YES",H16=""),"※",""),IF(OR(H16=H17,H16=H18,H16=H19,H16=H20,H16=H21)=TRUE,"E ",""))</f>
        <v/>
      </c>
      <c r="H16" s="503"/>
      <c r="I16" s="1442" t="str">
        <f t="shared" ref="I16:I21" si="0">IF(G16="E","上に詰めてください",IF(G16="E ","理由が重複しています",""))</f>
        <v/>
      </c>
      <c r="J16" s="1441"/>
      <c r="K16" s="626"/>
    </row>
    <row r="17" spans="3:12" ht="13.5" customHeight="1">
      <c r="C17" s="77"/>
      <c r="D17" s="2457" t="s">
        <v>2067</v>
      </c>
      <c r="E17" s="2462"/>
      <c r="F17" s="1435"/>
      <c r="G17" s="1436" t="str">
        <f>IF(AND(OR(H16="")=TRUE,H17&lt;&gt;"")=TRUE,"E",IF(H17="","",IF(OR(H17=$H$16,H17=$H$18,H17=$H$18,H17=$H$19,H17=$H$20)=TRUE,"E ","")))</f>
        <v/>
      </c>
      <c r="H17" s="503"/>
      <c r="I17" s="1442" t="str">
        <f t="shared" si="0"/>
        <v/>
      </c>
      <c r="J17" s="1441"/>
      <c r="K17" s="626"/>
    </row>
    <row r="18" spans="3:12">
      <c r="C18" s="77"/>
      <c r="D18" s="2478" t="s">
        <v>2068</v>
      </c>
      <c r="E18" s="2462"/>
      <c r="F18" s="1435"/>
      <c r="G18" s="1436" t="str">
        <f>IF(AND(OR(H16="",H17="")=TRUE,H18&lt;&gt;"")=TRUE,"E",IF(H18="","",IF(OR(H18=H16,H18=H17,H18=H19,H18=H20,H18=H21)=TRUE,"E ","")))</f>
        <v/>
      </c>
      <c r="H18" s="503"/>
      <c r="I18" s="1442" t="str">
        <f t="shared" si="0"/>
        <v/>
      </c>
      <c r="J18" s="1441"/>
      <c r="K18" s="626"/>
    </row>
    <row r="19" spans="3:12">
      <c r="C19" s="77"/>
      <c r="D19" s="2457" t="s">
        <v>2069</v>
      </c>
      <c r="E19" s="2462"/>
      <c r="F19" s="1435"/>
      <c r="G19" s="1436" t="str">
        <f>IF(AND(OR(H16="",H17="",H18="")=TRUE,H19&lt;&gt;"")=TRUE,"E",IF(H19="","",IF(OR(H19=H16,H19=H17,H19=H18,H19=H20,H19=H21)=TRUE,"E ","")))</f>
        <v/>
      </c>
      <c r="H19" s="503"/>
      <c r="I19" s="1442" t="str">
        <f t="shared" si="0"/>
        <v/>
      </c>
      <c r="J19" s="1441"/>
      <c r="K19" s="626"/>
    </row>
    <row r="20" spans="3:12">
      <c r="C20" s="77"/>
      <c r="D20" s="2457" t="s">
        <v>2070</v>
      </c>
      <c r="E20" s="2462"/>
      <c r="F20" s="1435"/>
      <c r="G20" s="1436" t="str">
        <f>IF(AND(OR(H16="",H17="",H18="",H19="")=TRUE,H20&lt;&gt;"")=TRUE,"E",IF(H20="","",IF(OR(H20=H16,H20=H17,H20=H18,H20=H19,H20=H21)=TRUE,"E ","")))</f>
        <v/>
      </c>
      <c r="H20" s="503"/>
      <c r="I20" s="1442" t="str">
        <f t="shared" si="0"/>
        <v/>
      </c>
      <c r="J20" s="1441"/>
      <c r="K20" s="626"/>
    </row>
    <row r="21" spans="3:12">
      <c r="C21" s="78"/>
      <c r="D21" s="1801"/>
      <c r="E21" s="1439" t="s">
        <v>2071</v>
      </c>
      <c r="F21" s="174"/>
      <c r="G21" s="175" t="str">
        <f>IF(AND(OR(H16="",H17="",H18="",H19="",H20="")=TRUE,H21&lt;&gt;"")=TRUE,"E",IF(H21="","",IF(OR(H21=H16,H21=H17,H21=H18,H21=H19,H21=H20)=TRUE,"E ","")))</f>
        <v/>
      </c>
      <c r="H21" s="1445"/>
      <c r="I21" s="1443" t="str">
        <f t="shared" si="0"/>
        <v/>
      </c>
      <c r="J21" s="1444"/>
      <c r="K21" s="626"/>
    </row>
    <row r="22" spans="3:12" ht="24" customHeight="1">
      <c r="C22" s="55">
        <v>3</v>
      </c>
      <c r="D22" s="2474" t="s">
        <v>832</v>
      </c>
      <c r="E22" s="2475"/>
      <c r="F22" s="177"/>
      <c r="G22" s="178" t="str">
        <f>IF(H22="","※","")</f>
        <v>※</v>
      </c>
      <c r="H22" s="1446"/>
      <c r="I22" s="51"/>
      <c r="J22" s="106"/>
      <c r="K22" s="626"/>
    </row>
    <row r="23" spans="3:12" ht="24" customHeight="1">
      <c r="C23" s="54">
        <v>4</v>
      </c>
      <c r="D23" s="2449" t="s">
        <v>833</v>
      </c>
      <c r="E23" s="2450"/>
      <c r="F23" s="172"/>
      <c r="G23" s="173" t="str">
        <f>IF(H23="","※",IF(AND(H24&lt;&gt;0,H23&lt;&gt;"YES"),"E",""))</f>
        <v>※</v>
      </c>
      <c r="H23" s="210"/>
      <c r="I23" s="118" t="str">
        <f>IF(G23="E","YESを選択してください","")</f>
        <v/>
      </c>
      <c r="J23" s="103"/>
      <c r="K23" s="626"/>
    </row>
    <row r="24" spans="3:12" ht="15" customHeight="1">
      <c r="C24" s="56"/>
      <c r="D24" s="2465" t="s">
        <v>710</v>
      </c>
      <c r="E24" s="2466"/>
      <c r="F24" s="174" t="s">
        <v>518</v>
      </c>
      <c r="G24" s="175" t="str">
        <f>IF(H23="","",IF(AND(H23="YES",H24=""),"※",""))</f>
        <v/>
      </c>
      <c r="H24" s="189"/>
      <c r="I24" s="50" t="s">
        <v>519</v>
      </c>
      <c r="J24" s="104"/>
      <c r="K24" s="626"/>
    </row>
    <row r="25" spans="3:12" ht="24" customHeight="1">
      <c r="C25" s="55">
        <v>5</v>
      </c>
      <c r="D25" s="2476" t="s">
        <v>834</v>
      </c>
      <c r="E25" s="2477"/>
      <c r="F25" s="172"/>
      <c r="G25" s="173" t="str">
        <f>IF(H25="","※",IF(AND(H26&lt;&gt;0,H25&lt;&gt;"YES")=TRUE,"E",""))</f>
        <v>※</v>
      </c>
      <c r="H25" s="209"/>
      <c r="I25" s="119" t="str">
        <f>IF(G25="E","YESを選択してください","")</f>
        <v/>
      </c>
      <c r="J25" s="103"/>
      <c r="K25" s="626"/>
    </row>
    <row r="26" spans="3:12" ht="15" customHeight="1">
      <c r="C26" s="56"/>
      <c r="D26" s="2465" t="s">
        <v>995</v>
      </c>
      <c r="E26" s="2466"/>
      <c r="F26" s="174" t="s">
        <v>518</v>
      </c>
      <c r="G26" s="175" t="str">
        <f>IF(H25="","",IF(AND(H25="YES",H26=""),"※",""))</f>
        <v/>
      </c>
      <c r="H26" s="189"/>
      <c r="I26" s="50" t="s">
        <v>520</v>
      </c>
      <c r="J26" s="104"/>
      <c r="K26" s="626"/>
    </row>
    <row r="27" spans="3:12" ht="24" customHeight="1">
      <c r="C27" s="54">
        <v>6</v>
      </c>
      <c r="D27" s="2449" t="s">
        <v>835</v>
      </c>
      <c r="E27" s="2450"/>
      <c r="F27" s="172"/>
      <c r="G27" s="173" t="str">
        <f>IF(H27="","※",IF(AND(H28&lt;&gt;0,H27&lt;&gt;"YES")=TRUE,"E",""))</f>
        <v>※</v>
      </c>
      <c r="H27" s="209"/>
      <c r="I27" s="120" t="str">
        <f>IF(G27="E","YESを選択してください","")</f>
        <v/>
      </c>
      <c r="J27" s="107"/>
      <c r="K27" s="626"/>
    </row>
    <row r="28" spans="3:12" ht="15" customHeight="1">
      <c r="C28" s="56"/>
      <c r="D28" s="2465" t="s">
        <v>527</v>
      </c>
      <c r="E28" s="2466"/>
      <c r="F28" s="174" t="s">
        <v>518</v>
      </c>
      <c r="G28" s="175" t="str">
        <f>IF(H27="","",IF(AND(H27="YES",H28=""),"※",""))</f>
        <v/>
      </c>
      <c r="H28" s="2440"/>
      <c r="I28" s="2441"/>
      <c r="J28" s="104" t="s">
        <v>1000</v>
      </c>
      <c r="K28" s="626"/>
    </row>
    <row r="29" spans="3:12" ht="24" customHeight="1">
      <c r="C29" s="54">
        <v>7</v>
      </c>
      <c r="D29" s="2449" t="s">
        <v>440</v>
      </c>
      <c r="E29" s="2467"/>
      <c r="F29" s="179"/>
      <c r="G29" s="169" t="str">
        <f>IF(H29="","※",IF(AND(OR(H30&lt;&gt;"",H31&lt;&gt;"",H32&lt;&gt;"",H33&lt;&gt;"",H34&lt;&gt;"",H35&lt;&gt;"",H36&lt;&gt;"",H37&lt;&gt;"")=TRUE,H29&lt;&gt;"YES"),"E",""))</f>
        <v>※</v>
      </c>
      <c r="H29" s="210"/>
      <c r="I29" s="124" t="str">
        <f>IF(G29="E","YESを選択してください","")</f>
        <v/>
      </c>
      <c r="J29" s="108"/>
      <c r="K29" s="626"/>
    </row>
    <row r="30" spans="3:12" ht="15" customHeight="1">
      <c r="C30" s="55"/>
      <c r="D30" s="2453" t="s">
        <v>993</v>
      </c>
      <c r="E30" s="2454"/>
      <c r="F30" s="176" t="s">
        <v>518</v>
      </c>
      <c r="G30" s="170" t="str">
        <f>IF(H29="","",IF(AND(H29="YES",H30=""),"※",IF(AND(H29="NO",H30&lt;&gt;""),"E","")))</f>
        <v/>
      </c>
      <c r="H30" s="188"/>
      <c r="I30" s="100" t="s">
        <v>519</v>
      </c>
      <c r="J30" s="108"/>
      <c r="K30" s="626"/>
    </row>
    <row r="31" spans="3:12" ht="15" customHeight="1">
      <c r="C31" s="57"/>
      <c r="D31" s="2457" t="s">
        <v>713</v>
      </c>
      <c r="E31" s="2462"/>
      <c r="F31" s="179"/>
      <c r="G31" s="169" t="str">
        <f>IF(AND(H29="NO",H31&lt;&gt;"")," E ",IF(H31="",IF(AND(H29="YES",H31=""),"※",""),IF(OR(H31=H32,H31=H33,H31=H34,H31=H35,H31=H36)=TRUE,"E ","")))</f>
        <v/>
      </c>
      <c r="H31" s="211"/>
      <c r="I31" s="145" t="str">
        <f t="shared" ref="I31:I36" si="1">IF(G31="E","上に詰めてください",IF(G31="E ","理由が重複しています",""))</f>
        <v/>
      </c>
      <c r="J31" s="105"/>
      <c r="K31" s="626"/>
    </row>
    <row r="32" spans="3:12" ht="15" customHeight="1">
      <c r="C32" s="57"/>
      <c r="D32" s="2457" t="s">
        <v>401</v>
      </c>
      <c r="E32" s="2462"/>
      <c r="F32" s="176"/>
      <c r="G32" s="169" t="str">
        <f>IF(AND(H29="NO",H32&lt;&gt;"")," E ",IF(AND(OR(H31="")=TRUE,H32&lt;&gt;"")=TRUE,"E",IF(H32="","",IF(OR(H32=H31,H32=H33,H32=H34,H32=H35,H32=H36)=TRUE,"E ",""))))</f>
        <v/>
      </c>
      <c r="H32" s="211"/>
      <c r="I32" s="145" t="str">
        <f t="shared" si="1"/>
        <v/>
      </c>
      <c r="J32" s="105"/>
      <c r="K32" s="626"/>
      <c r="L32" s="37"/>
    </row>
    <row r="33" spans="1:14" ht="13.5" customHeight="1">
      <c r="C33" s="57"/>
      <c r="D33" s="2457" t="s">
        <v>994</v>
      </c>
      <c r="E33" s="2462"/>
      <c r="F33" s="176"/>
      <c r="G33" s="170" t="str">
        <f>IF(AND(H29="NO",H33&lt;&gt;"")," E ",IF(AND(OR(H31="",H32="")=TRUE,H33&lt;&gt;"")=TRUE,"E",IF(H33="","",IF(OR(H33=H31,H33=H32,H33=H34,H33=H35,H33=H36)=TRUE,"E ",""))))</f>
        <v/>
      </c>
      <c r="H33" s="211"/>
      <c r="I33" s="145" t="str">
        <f t="shared" si="1"/>
        <v/>
      </c>
      <c r="J33" s="105"/>
      <c r="K33" s="626"/>
      <c r="L33" s="37"/>
    </row>
    <row r="34" spans="1:14" ht="13.5" customHeight="1">
      <c r="C34" s="57"/>
      <c r="D34" s="2457" t="s">
        <v>489</v>
      </c>
      <c r="E34" s="2462"/>
      <c r="F34" s="176"/>
      <c r="G34" s="170" t="str">
        <f>IF(AND(H29="NO",H34&lt;&gt;"")," E ",IF(AND(OR(H31="",H32="",H33="")=TRUE,H34&lt;&gt;"")=TRUE,"E",IF(H34="","",IF(OR(H34=H31,H34=H32,H34=H33,H34=H35,H34=H36)=TRUE,"E ",""))))</f>
        <v/>
      </c>
      <c r="H34" s="211"/>
      <c r="I34" s="145" t="str">
        <f t="shared" si="1"/>
        <v/>
      </c>
      <c r="J34" s="105"/>
      <c r="K34" s="626"/>
      <c r="L34" s="37"/>
    </row>
    <row r="35" spans="1:14" ht="13.5" customHeight="1">
      <c r="C35" s="55"/>
      <c r="D35" s="2457" t="s">
        <v>402</v>
      </c>
      <c r="E35" s="2456"/>
      <c r="F35" s="176"/>
      <c r="G35" s="170" t="str">
        <f>IF(AND(H29="NO",H35&lt;&gt;"")," E ",IF(AND(OR(H31="",H32="",H33="",H34="")=TRUE,H35&lt;&gt;"")=TRUE,"E",IF(H35="","",IF(OR(H35=H31,H35=H32,H35=H33,H35=H34,H35=H36)=TRUE,"E ",""))))</f>
        <v/>
      </c>
      <c r="H35" s="211"/>
      <c r="I35" s="145" t="str">
        <f t="shared" si="1"/>
        <v/>
      </c>
      <c r="J35" s="105"/>
      <c r="K35" s="626"/>
      <c r="L35" s="37"/>
    </row>
    <row r="36" spans="1:14" ht="15" customHeight="1">
      <c r="C36" s="55"/>
      <c r="D36" s="2455" t="s">
        <v>464</v>
      </c>
      <c r="E36" s="2456"/>
      <c r="F36" s="176"/>
      <c r="G36" s="170" t="str">
        <f>IF(AND(H29="NO",H36&lt;&gt;"")," E ",IF(AND(OR(H31="",H32="",H33="",H34="",H35="")=TRUE,H36&lt;&gt;"")=TRUE,"E",IF(H36="","",IF(OR(H36=H31,H36=H32,H36=H33,H36=H34,H36=H35)=TRUE,"E ",""))))</f>
        <v/>
      </c>
      <c r="H36" s="211"/>
      <c r="I36" s="145" t="str">
        <f t="shared" si="1"/>
        <v/>
      </c>
      <c r="J36" s="105"/>
      <c r="K36" s="626"/>
    </row>
    <row r="37" spans="1:14" ht="15" customHeight="1">
      <c r="C37" s="56"/>
      <c r="D37" s="2460" t="s">
        <v>487</v>
      </c>
      <c r="E37" s="2461"/>
      <c r="F37" s="180" t="s">
        <v>518</v>
      </c>
      <c r="G37" s="181" t="str">
        <f>IF(AND(H29="NO",H37&lt;&gt;"")," E ",IF(H37&lt;&gt;"",IF(AND(H31&lt;&gt;"その他",H32&lt;&gt;"その他",H33&lt;&gt;"その他",H34&lt;&gt;"その他",H35&lt;&gt;"その他",H36&lt;&gt;"その他")=TRUE,"E",""),IF(OR(H31="その他",H32="その他",H33="その他",H34="その他",H35="その他",H36="その他")=TRUE,"※","")))</f>
        <v/>
      </c>
      <c r="H37" s="2440"/>
      <c r="I37" s="2441"/>
      <c r="J37" s="109" t="s">
        <v>1000</v>
      </c>
      <c r="K37" s="504" t="str">
        <f>IF(G37="E","６．その他を選んで下さい",IF(G37="※","具体的に記述して下さい",""))</f>
        <v/>
      </c>
    </row>
    <row r="38" spans="1:14" ht="24" customHeight="1">
      <c r="C38" s="54">
        <v>8</v>
      </c>
      <c r="D38" s="2449" t="s">
        <v>408</v>
      </c>
      <c r="E38" s="2450"/>
      <c r="F38" s="627"/>
      <c r="G38" s="572" t="str">
        <f>IF(H38="","※",IF(AND(N38&lt;&gt;3,H38&lt;&gt;"YES")=TRUE,"E",""))</f>
        <v>※</v>
      </c>
      <c r="H38" s="209"/>
      <c r="I38" s="118" t="str">
        <f>IF(G38="E","YESを選択してください","")</f>
        <v/>
      </c>
      <c r="J38" s="103"/>
      <c r="K38" s="626"/>
      <c r="M38" s="1012" t="s">
        <v>1108</v>
      </c>
      <c r="N38" s="1013">
        <f>COUNTBLANK(H39:H41)</f>
        <v>3</v>
      </c>
    </row>
    <row r="39" spans="1:14" ht="15" customHeight="1">
      <c r="C39" s="57"/>
      <c r="D39" s="2451" t="s">
        <v>992</v>
      </c>
      <c r="E39" s="2452"/>
      <c r="F39" s="628" t="s">
        <v>518</v>
      </c>
      <c r="G39" s="583" t="str">
        <f>IF(H38="","",IF(AND(H38="YES",H39=""),"※",""))</f>
        <v/>
      </c>
      <c r="H39" s="1115"/>
      <c r="I39" s="53" t="s">
        <v>519</v>
      </c>
      <c r="J39" s="105"/>
      <c r="K39" s="626"/>
    </row>
    <row r="40" spans="1:14" ht="15" customHeight="1">
      <c r="C40" s="57"/>
      <c r="D40" s="2451" t="s">
        <v>488</v>
      </c>
      <c r="E40" s="2452"/>
      <c r="F40" s="628" t="s">
        <v>518</v>
      </c>
      <c r="G40" s="583" t="str">
        <f>IF($H38="","",IF(AND($H38="YES",H40=""),"※",""))</f>
        <v/>
      </c>
      <c r="H40" s="2442"/>
      <c r="I40" s="2443"/>
      <c r="J40" s="105" t="s">
        <v>1000</v>
      </c>
      <c r="K40" s="626"/>
    </row>
    <row r="41" spans="1:14" ht="15" customHeight="1">
      <c r="C41" s="55"/>
      <c r="D41" s="2458" t="s">
        <v>524</v>
      </c>
      <c r="E41" s="2459"/>
      <c r="F41" s="628" t="s">
        <v>518</v>
      </c>
      <c r="G41" s="583" t="str">
        <f>IF($H38="","",IF(AND($H38="YES",H41=""),"※",""))</f>
        <v/>
      </c>
      <c r="H41" s="566"/>
      <c r="I41" s="79" t="s">
        <v>792</v>
      </c>
      <c r="J41" s="501"/>
      <c r="K41" s="582"/>
    </row>
    <row r="42" spans="1:14" ht="24" customHeight="1">
      <c r="C42" s="54">
        <v>9</v>
      </c>
      <c r="D42" s="2449" t="s">
        <v>829</v>
      </c>
      <c r="E42" s="2450"/>
      <c r="F42" s="627"/>
      <c r="G42" s="572" t="str">
        <f>IF(H42="","※",IF(AND(N42&lt;&gt;2,H42&lt;&gt;"1：補正有り")=TRUE,"E",""))</f>
        <v>※</v>
      </c>
      <c r="H42" s="1776" t="str">
        <f>IF(一般事項!F62="","",一般事項!F62)</f>
        <v/>
      </c>
      <c r="I42" s="2438" t="str">
        <f>IF(G42="E","「一般事項」シートにて『1：補正有り』を選択してください","")</f>
        <v/>
      </c>
      <c r="J42" s="2439"/>
      <c r="K42" s="626"/>
      <c r="M42" s="1012" t="s">
        <v>1108</v>
      </c>
      <c r="N42" s="1013">
        <f>COUNTBLANK(H43:H44)</f>
        <v>2</v>
      </c>
    </row>
    <row r="43" spans="1:14" ht="15" customHeight="1">
      <c r="C43" s="57"/>
      <c r="D43" s="2451" t="s">
        <v>2072</v>
      </c>
      <c r="E43" s="2452"/>
      <c r="F43" s="628" t="s">
        <v>518</v>
      </c>
      <c r="G43" s="583" t="str">
        <f>IF($H42="","",IF(AND($H42="1：補正有り",H43=""),"※",""))</f>
        <v/>
      </c>
      <c r="H43" s="2442"/>
      <c r="I43" s="2443"/>
      <c r="J43" s="105" t="s">
        <v>1000</v>
      </c>
      <c r="K43" s="626"/>
    </row>
    <row r="44" spans="1:14" ht="15" customHeight="1">
      <c r="C44" s="55"/>
      <c r="D44" s="2458" t="s">
        <v>791</v>
      </c>
      <c r="E44" s="2459"/>
      <c r="F44" s="628" t="s">
        <v>518</v>
      </c>
      <c r="G44" s="583" t="str">
        <f>IF($H42="","",IF(AND($H42="1：補正有り",H44=""),"※",IF(H44&gt;2,"E","")))</f>
        <v/>
      </c>
      <c r="H44" s="566"/>
      <c r="I44" s="79" t="s">
        <v>870</v>
      </c>
      <c r="J44" s="501"/>
      <c r="K44" s="582" t="str">
        <f>IF(G44="E","積算基準の最大値は2％です。2以下を入力してください。","")</f>
        <v/>
      </c>
    </row>
    <row r="45" spans="1:14" s="415" customFormat="1" ht="24" customHeight="1">
      <c r="A45" s="33"/>
      <c r="C45" s="54">
        <v>10</v>
      </c>
      <c r="D45" s="2449" t="s">
        <v>1073</v>
      </c>
      <c r="E45" s="2479"/>
      <c r="F45" s="629"/>
      <c r="G45" s="572" t="str">
        <f>IF(H45="","※",IF(AND(N45&lt;&gt;2,H45&lt;&gt;"YES")=TRUE,"E",""))</f>
        <v>※</v>
      </c>
      <c r="H45" s="416"/>
      <c r="I45" s="417" t="str">
        <f>IF(G45="E","YESを選択してください","")</f>
        <v/>
      </c>
      <c r="J45" s="418"/>
      <c r="K45" s="626"/>
      <c r="M45" s="1012" t="s">
        <v>1108</v>
      </c>
      <c r="N45" s="1013">
        <f>COUNTBLANK(H46:H47)</f>
        <v>2</v>
      </c>
    </row>
    <row r="46" spans="1:14" s="415" customFormat="1" ht="15" customHeight="1">
      <c r="A46" s="33"/>
      <c r="C46" s="55"/>
      <c r="D46" s="2453" t="s">
        <v>1074</v>
      </c>
      <c r="E46" s="2483"/>
      <c r="F46" s="628"/>
      <c r="G46" s="583" t="str">
        <f>IF(H45="","",IF(AND(H45="YES",H46=""),"※",""))</f>
        <v/>
      </c>
      <c r="H46" s="2444"/>
      <c r="I46" s="2445"/>
      <c r="J46" s="2446"/>
      <c r="K46" s="504" t="str">
        <f>IF(G47="E","「その他」を選んで下さい","")</f>
        <v/>
      </c>
    </row>
    <row r="47" spans="1:14" s="415" customFormat="1" ht="15" customHeight="1">
      <c r="A47" s="33"/>
      <c r="C47" s="419"/>
      <c r="D47" s="2460" t="s">
        <v>1075</v>
      </c>
      <c r="E47" s="2461"/>
      <c r="F47" s="630"/>
      <c r="G47" s="631" t="str">
        <f>IF(H47&lt;&gt;"",IF(AND(H46&lt;&gt;"その他")=TRUE,"E",""),IF(OR(H46="その他")=TRUE,"※",""))</f>
        <v/>
      </c>
      <c r="H47" s="2480"/>
      <c r="I47" s="2481"/>
      <c r="J47" s="2482"/>
      <c r="K47" s="504" t="str">
        <f>IF(G47="※","具体的な時間を入力して下さい","")</f>
        <v/>
      </c>
    </row>
    <row r="48" spans="1:14" s="415" customFormat="1" ht="29.25" customHeight="1">
      <c r="A48" s="33"/>
      <c r="C48" s="54">
        <v>11</v>
      </c>
      <c r="D48" s="2449" t="s">
        <v>2100</v>
      </c>
      <c r="E48" s="2479"/>
      <c r="F48" s="629"/>
      <c r="G48" s="572" t="str">
        <f>IF(H48="","※",IF(AND(N48&lt;&gt;3,H48&lt;&gt;"1：補正有り")=TRUE,"E",""))</f>
        <v>※</v>
      </c>
      <c r="H48" s="1776" t="str">
        <f>IF(一般事項!F63="","",一般事項!F63)</f>
        <v/>
      </c>
      <c r="I48" s="2438" t="str">
        <f>IF(G48="E","「一般事項」シートにて『1：補正有り』を選択してください","")</f>
        <v/>
      </c>
      <c r="J48" s="2439"/>
      <c r="K48" s="626"/>
      <c r="M48" s="1012" t="s">
        <v>1108</v>
      </c>
      <c r="N48" s="1013">
        <f>COUNTBLANK(H49:H51)</f>
        <v>3</v>
      </c>
    </row>
    <row r="49" spans="1:14" s="415" customFormat="1" ht="15" customHeight="1">
      <c r="A49" s="33"/>
      <c r="C49" s="55"/>
      <c r="D49" s="2451" t="s">
        <v>2146</v>
      </c>
      <c r="E49" s="2470"/>
      <c r="F49" s="628" t="s">
        <v>518</v>
      </c>
      <c r="G49" s="583" t="str">
        <f>IF(H48="","",IF(AND(H48="1：補正有り",H49=""),"※",""))</f>
        <v/>
      </c>
      <c r="H49" s="1115"/>
      <c r="I49" s="53" t="s">
        <v>519</v>
      </c>
      <c r="J49" s="105"/>
      <c r="K49" s="504"/>
    </row>
    <row r="50" spans="1:14" s="415" customFormat="1" ht="15" customHeight="1">
      <c r="A50" s="33"/>
      <c r="C50" s="55"/>
      <c r="D50" s="2451" t="s">
        <v>2147</v>
      </c>
      <c r="E50" s="2470"/>
      <c r="F50" s="628" t="s">
        <v>518</v>
      </c>
      <c r="G50" s="583" t="str">
        <f>IF(H48="","",IF(AND(H48="1：補正有り",H50=""),"※",""))</f>
        <v/>
      </c>
      <c r="H50" s="1115"/>
      <c r="I50" s="53" t="s">
        <v>519</v>
      </c>
      <c r="J50" s="105"/>
      <c r="K50" s="504"/>
    </row>
    <row r="51" spans="1:14" s="415" customFormat="1" ht="15" customHeight="1">
      <c r="A51" s="33"/>
      <c r="C51" s="419"/>
      <c r="D51" s="2458" t="s">
        <v>2099</v>
      </c>
      <c r="E51" s="2459"/>
      <c r="F51" s="628" t="s">
        <v>518</v>
      </c>
      <c r="G51" s="583" t="str">
        <f>IF($H48="","",IF(AND($H48="1：補正有り",H51=""),"※",IF(H51&gt;2,"E","")))</f>
        <v/>
      </c>
      <c r="H51" s="566"/>
      <c r="I51" s="79" t="s">
        <v>525</v>
      </c>
      <c r="J51" s="501"/>
      <c r="K51" s="504" t="str">
        <f>IF(G51="E","積算基準の最大値は2％です。2以下を入力してください。","")</f>
        <v/>
      </c>
    </row>
    <row r="52" spans="1:14" s="415" customFormat="1" ht="24" customHeight="1">
      <c r="A52" s="33"/>
      <c r="C52" s="54">
        <v>12</v>
      </c>
      <c r="D52" s="2449" t="s">
        <v>5723</v>
      </c>
      <c r="E52" s="2479"/>
      <c r="F52" s="629"/>
      <c r="G52" s="572" t="str">
        <f>IF(H52="","※","")</f>
        <v>※</v>
      </c>
      <c r="H52" s="416"/>
      <c r="I52" s="2438" t="str">
        <f t="shared" ref="I52:J52" si="2">IF(G52="E","YESを選択してください","")</f>
        <v/>
      </c>
      <c r="J52" s="2439" t="str">
        <f t="shared" si="2"/>
        <v/>
      </c>
      <c r="K52" s="626"/>
      <c r="M52" s="1012" t="s">
        <v>1108</v>
      </c>
      <c r="N52" s="1013">
        <f>COUNTBLANK(H54)</f>
        <v>1</v>
      </c>
    </row>
    <row r="53" spans="1:14" s="415" customFormat="1" ht="15" hidden="1" customHeight="1">
      <c r="A53" s="33"/>
      <c r="C53" s="57"/>
      <c r="D53" s="2451"/>
      <c r="E53" s="2452"/>
      <c r="F53" s="628"/>
      <c r="G53" s="583"/>
      <c r="H53" s="503"/>
      <c r="I53" s="53"/>
      <c r="J53" s="573"/>
      <c r="K53" s="626"/>
    </row>
    <row r="54" spans="1:14" s="415" customFormat="1" ht="15" customHeight="1">
      <c r="A54" s="33"/>
      <c r="C54" s="56"/>
      <c r="D54" s="2458" t="s">
        <v>5724</v>
      </c>
      <c r="E54" s="2459"/>
      <c r="F54" s="633" t="s">
        <v>526</v>
      </c>
      <c r="G54" s="632" t="str">
        <f>IF(AND(H52="YES",H54=""),"※","")</f>
        <v/>
      </c>
      <c r="H54" s="566"/>
      <c r="I54" s="79" t="s">
        <v>5725</v>
      </c>
      <c r="J54" s="574"/>
      <c r="K54" s="582"/>
    </row>
    <row r="55" spans="1:14" s="415" customFormat="1" ht="24" hidden="1" customHeight="1">
      <c r="A55" s="33"/>
      <c r="C55" s="2050">
        <v>13</v>
      </c>
      <c r="D55" s="2486" t="s">
        <v>2313</v>
      </c>
      <c r="E55" s="2487"/>
      <c r="F55" s="2048"/>
      <c r="G55" s="2051"/>
      <c r="H55" s="2052" t="str">
        <f>IF(一般事項!F98="","",一般事項!F98)</f>
        <v/>
      </c>
      <c r="I55" s="2488" t="str">
        <f>IF(G55="E","「一般事項」シートにて『有り』を選択してください","")</f>
        <v/>
      </c>
      <c r="J55" s="2489"/>
      <c r="K55" s="582"/>
      <c r="M55" s="1012" t="s">
        <v>1108</v>
      </c>
      <c r="N55" s="1013">
        <f>COUNTBLANK(H56:H63)</f>
        <v>8</v>
      </c>
    </row>
    <row r="56" spans="1:14" s="415" customFormat="1" hidden="1">
      <c r="A56" s="33"/>
      <c r="C56" s="55"/>
      <c r="D56" s="2484" t="s">
        <v>2320</v>
      </c>
      <c r="E56" s="2485"/>
      <c r="F56" s="2053" t="s">
        <v>518</v>
      </c>
      <c r="G56" s="2128"/>
      <c r="H56" s="2094"/>
      <c r="I56" s="2055" t="s">
        <v>2347</v>
      </c>
      <c r="J56" s="2056"/>
      <c r="K56" s="582"/>
    </row>
    <row r="57" spans="1:14" s="415" customFormat="1" hidden="1">
      <c r="A57" s="33"/>
      <c r="C57" s="55"/>
      <c r="D57" s="2091"/>
      <c r="E57" s="2092"/>
      <c r="F57" s="179" t="s">
        <v>2349</v>
      </c>
      <c r="G57" s="2129"/>
      <c r="H57" s="2097"/>
      <c r="I57" s="100" t="s">
        <v>2350</v>
      </c>
      <c r="J57" s="2093"/>
      <c r="K57" s="582"/>
    </row>
    <row r="58" spans="1:14" s="415" customFormat="1" hidden="1">
      <c r="A58" s="33"/>
      <c r="C58" s="55"/>
      <c r="D58" s="2091"/>
      <c r="E58" s="2092"/>
      <c r="F58" s="179" t="s">
        <v>2349</v>
      </c>
      <c r="G58" s="2129"/>
      <c r="H58" s="2098"/>
      <c r="I58" s="53" t="s">
        <v>2351</v>
      </c>
      <c r="J58" s="2049"/>
      <c r="K58" s="582"/>
    </row>
    <row r="59" spans="1:14" s="415" customFormat="1" hidden="1">
      <c r="A59" s="33"/>
      <c r="C59" s="55"/>
      <c r="D59" s="2468" t="s">
        <v>2317</v>
      </c>
      <c r="E59" s="2469"/>
      <c r="F59" s="176" t="s">
        <v>518</v>
      </c>
      <c r="G59" s="2130"/>
      <c r="H59" s="2096"/>
      <c r="I59" s="53" t="s">
        <v>2347</v>
      </c>
      <c r="J59" s="2049"/>
      <c r="K59" s="582"/>
    </row>
    <row r="60" spans="1:14" s="415" customFormat="1" hidden="1">
      <c r="A60" s="33"/>
      <c r="C60" s="55"/>
      <c r="D60" s="2083"/>
      <c r="E60" s="2084"/>
      <c r="F60" s="176" t="s">
        <v>2348</v>
      </c>
      <c r="G60" s="2130"/>
      <c r="H60" s="2097"/>
      <c r="I60" s="100" t="s">
        <v>2350</v>
      </c>
      <c r="J60" s="2049"/>
      <c r="K60" s="582"/>
    </row>
    <row r="61" spans="1:14" s="415" customFormat="1" hidden="1">
      <c r="A61" s="33"/>
      <c r="C61" s="55"/>
      <c r="D61" s="2083"/>
      <c r="E61" s="2084"/>
      <c r="F61" s="176" t="s">
        <v>2348</v>
      </c>
      <c r="G61" s="2130"/>
      <c r="H61" s="2097"/>
      <c r="I61" s="100" t="s">
        <v>2351</v>
      </c>
      <c r="J61" s="2049"/>
      <c r="K61" s="582"/>
    </row>
    <row r="62" spans="1:14" s="415" customFormat="1" hidden="1">
      <c r="A62" s="33"/>
      <c r="C62" s="55"/>
      <c r="D62" s="2468" t="s">
        <v>2322</v>
      </c>
      <c r="E62" s="2470"/>
      <c r="F62" s="176" t="s">
        <v>518</v>
      </c>
      <c r="G62" s="2130"/>
      <c r="H62" s="2095"/>
      <c r="I62" s="53" t="s">
        <v>525</v>
      </c>
      <c r="J62" s="2049"/>
      <c r="K62" s="582"/>
    </row>
    <row r="63" spans="1:14" s="415" customFormat="1" hidden="1">
      <c r="A63" s="33"/>
      <c r="C63" s="55"/>
      <c r="D63" s="2492" t="s">
        <v>2318</v>
      </c>
      <c r="E63" s="2493"/>
      <c r="F63" s="2057" t="s">
        <v>518</v>
      </c>
      <c r="G63" s="2131"/>
      <c r="H63" s="2058"/>
      <c r="I63" s="2059" t="s">
        <v>2319</v>
      </c>
      <c r="J63" s="2060"/>
      <c r="K63" s="582"/>
    </row>
    <row r="64" spans="1:14" s="415" customFormat="1" hidden="1">
      <c r="A64" s="33"/>
      <c r="C64" s="55"/>
      <c r="D64" s="2484" t="s">
        <v>2321</v>
      </c>
      <c r="E64" s="2485"/>
      <c r="F64" s="2053" t="s">
        <v>518</v>
      </c>
      <c r="G64" s="2128"/>
      <c r="H64" s="2094"/>
      <c r="I64" s="2055" t="s">
        <v>2347</v>
      </c>
      <c r="J64" s="2056"/>
      <c r="K64" s="582"/>
    </row>
    <row r="65" spans="1:11" s="415" customFormat="1" hidden="1">
      <c r="A65" s="33"/>
      <c r="C65" s="55"/>
      <c r="D65" s="2091"/>
      <c r="E65" s="2092"/>
      <c r="F65" s="179" t="s">
        <v>2349</v>
      </c>
      <c r="G65" s="2129"/>
      <c r="H65" s="2097"/>
      <c r="I65" s="100" t="s">
        <v>2350</v>
      </c>
      <c r="J65" s="2093"/>
      <c r="K65" s="582"/>
    </row>
    <row r="66" spans="1:11" s="415" customFormat="1" hidden="1">
      <c r="A66" s="33"/>
      <c r="C66" s="55"/>
      <c r="D66" s="2091"/>
      <c r="E66" s="2092"/>
      <c r="F66" s="179" t="s">
        <v>2349</v>
      </c>
      <c r="G66" s="2129"/>
      <c r="H66" s="2098"/>
      <c r="I66" s="53" t="s">
        <v>2351</v>
      </c>
      <c r="J66" s="2049"/>
      <c r="K66" s="582"/>
    </row>
    <row r="67" spans="1:11" s="415" customFormat="1" hidden="1">
      <c r="A67" s="33"/>
      <c r="C67" s="55"/>
      <c r="D67" s="2468" t="s">
        <v>2317</v>
      </c>
      <c r="E67" s="2469"/>
      <c r="F67" s="176" t="s">
        <v>518</v>
      </c>
      <c r="G67" s="2130"/>
      <c r="H67" s="2096"/>
      <c r="I67" s="53" t="s">
        <v>2347</v>
      </c>
      <c r="J67" s="2049"/>
      <c r="K67" s="582"/>
    </row>
    <row r="68" spans="1:11" s="415" customFormat="1" hidden="1">
      <c r="A68" s="33"/>
      <c r="C68" s="55"/>
      <c r="D68" s="2083"/>
      <c r="E68" s="2084"/>
      <c r="F68" s="176" t="s">
        <v>2348</v>
      </c>
      <c r="G68" s="2130"/>
      <c r="H68" s="2097"/>
      <c r="I68" s="100" t="s">
        <v>2350</v>
      </c>
      <c r="J68" s="2049"/>
      <c r="K68" s="582"/>
    </row>
    <row r="69" spans="1:11" s="415" customFormat="1" hidden="1">
      <c r="A69" s="33"/>
      <c r="C69" s="55"/>
      <c r="D69" s="2083"/>
      <c r="E69" s="2084"/>
      <c r="F69" s="176" t="s">
        <v>2348</v>
      </c>
      <c r="G69" s="2130"/>
      <c r="H69" s="2097"/>
      <c r="I69" s="100" t="s">
        <v>2351</v>
      </c>
      <c r="J69" s="2049"/>
      <c r="K69" s="582"/>
    </row>
    <row r="70" spans="1:11" s="415" customFormat="1" hidden="1">
      <c r="A70" s="33"/>
      <c r="C70" s="55"/>
      <c r="D70" s="2468" t="s">
        <v>2322</v>
      </c>
      <c r="E70" s="2470"/>
      <c r="F70" s="176" t="s">
        <v>518</v>
      </c>
      <c r="G70" s="2130"/>
      <c r="H70" s="2095"/>
      <c r="I70" s="53" t="s">
        <v>525</v>
      </c>
      <c r="J70" s="2049"/>
      <c r="K70" s="582"/>
    </row>
    <row r="71" spans="1:11" s="415" customFormat="1" hidden="1">
      <c r="A71" s="33"/>
      <c r="C71" s="55"/>
      <c r="D71" s="2494" t="s">
        <v>2318</v>
      </c>
      <c r="E71" s="2495"/>
      <c r="F71" s="2057" t="s">
        <v>518</v>
      </c>
      <c r="G71" s="2131"/>
      <c r="H71" s="2058"/>
      <c r="I71" s="2059" t="s">
        <v>2319</v>
      </c>
      <c r="J71" s="2060"/>
      <c r="K71" s="582"/>
    </row>
    <row r="72" spans="1:11" s="415" customFormat="1" hidden="1">
      <c r="A72" s="33"/>
      <c r="C72" s="55"/>
      <c r="D72" s="2484" t="s">
        <v>2323</v>
      </c>
      <c r="E72" s="2485"/>
      <c r="F72" s="2053" t="s">
        <v>518</v>
      </c>
      <c r="G72" s="2128"/>
      <c r="H72" s="2054"/>
      <c r="I72" s="2055" t="s">
        <v>2347</v>
      </c>
      <c r="J72" s="2056"/>
      <c r="K72" s="582"/>
    </row>
    <row r="73" spans="1:11" s="415" customFormat="1" hidden="1">
      <c r="A73" s="33"/>
      <c r="C73" s="55"/>
      <c r="D73" s="2091"/>
      <c r="E73" s="2092"/>
      <c r="F73" s="179" t="s">
        <v>2349</v>
      </c>
      <c r="G73" s="2129"/>
      <c r="H73" s="2097"/>
      <c r="I73" s="100" t="s">
        <v>2350</v>
      </c>
      <c r="J73" s="2093"/>
      <c r="K73" s="582"/>
    </row>
    <row r="74" spans="1:11" s="415" customFormat="1" hidden="1">
      <c r="A74" s="33"/>
      <c r="C74" s="55"/>
      <c r="D74" s="2091"/>
      <c r="E74" s="2092"/>
      <c r="F74" s="179" t="s">
        <v>2349</v>
      </c>
      <c r="G74" s="2129"/>
      <c r="H74" s="2098"/>
      <c r="I74" s="53" t="s">
        <v>2351</v>
      </c>
      <c r="J74" s="2049"/>
      <c r="K74" s="582"/>
    </row>
    <row r="75" spans="1:11" s="415" customFormat="1" hidden="1">
      <c r="A75" s="33"/>
      <c r="C75" s="55"/>
      <c r="D75" s="2468" t="s">
        <v>2317</v>
      </c>
      <c r="E75" s="2469"/>
      <c r="F75" s="176" t="s">
        <v>518</v>
      </c>
      <c r="G75" s="2130"/>
      <c r="H75" s="2096"/>
      <c r="I75" s="53" t="s">
        <v>2347</v>
      </c>
      <c r="J75" s="2049"/>
      <c r="K75" s="582"/>
    </row>
    <row r="76" spans="1:11" s="415" customFormat="1" hidden="1">
      <c r="A76" s="33"/>
      <c r="C76" s="55"/>
      <c r="D76" s="2083"/>
      <c r="E76" s="2084"/>
      <c r="F76" s="176" t="s">
        <v>2348</v>
      </c>
      <c r="G76" s="2130"/>
      <c r="H76" s="2097"/>
      <c r="I76" s="100" t="s">
        <v>2350</v>
      </c>
      <c r="J76" s="2049"/>
      <c r="K76" s="582"/>
    </row>
    <row r="77" spans="1:11" s="415" customFormat="1" hidden="1">
      <c r="A77" s="33"/>
      <c r="C77" s="55"/>
      <c r="D77" s="2083"/>
      <c r="E77" s="2084"/>
      <c r="F77" s="176" t="s">
        <v>2348</v>
      </c>
      <c r="G77" s="2130"/>
      <c r="H77" s="2097"/>
      <c r="I77" s="100" t="s">
        <v>2351</v>
      </c>
      <c r="J77" s="2049"/>
      <c r="K77" s="582"/>
    </row>
    <row r="78" spans="1:11" s="415" customFormat="1" hidden="1">
      <c r="A78" s="33"/>
      <c r="C78" s="55"/>
      <c r="D78" s="2468" t="s">
        <v>2322</v>
      </c>
      <c r="E78" s="2470"/>
      <c r="F78" s="176" t="s">
        <v>518</v>
      </c>
      <c r="G78" s="2130"/>
      <c r="H78" s="2095"/>
      <c r="I78" s="53" t="s">
        <v>525</v>
      </c>
      <c r="J78" s="2049"/>
      <c r="K78" s="582"/>
    </row>
    <row r="79" spans="1:11" s="415" customFormat="1" hidden="1">
      <c r="A79" s="33"/>
      <c r="C79" s="419"/>
      <c r="D79" s="2490" t="s">
        <v>2318</v>
      </c>
      <c r="E79" s="2491"/>
      <c r="F79" s="174" t="s">
        <v>518</v>
      </c>
      <c r="G79" s="2132"/>
      <c r="H79" s="1445"/>
      <c r="I79" s="50" t="s">
        <v>2319</v>
      </c>
      <c r="J79" s="1444"/>
      <c r="K79" s="582"/>
    </row>
    <row r="80" spans="1:11" ht="13.5" customHeight="1">
      <c r="C80" s="2099"/>
      <c r="D80" s="2100"/>
      <c r="E80" s="2100"/>
      <c r="F80" s="2100"/>
      <c r="G80" s="2101"/>
      <c r="H80" s="2102"/>
      <c r="I80" s="2100"/>
      <c r="J80" s="2103"/>
    </row>
    <row r="81" spans="3:12" ht="13.5" customHeight="1">
      <c r="C81" s="484" t="s">
        <v>685</v>
      </c>
      <c r="D81" s="485"/>
      <c r="E81" s="438"/>
      <c r="F81" s="457"/>
      <c r="G81" s="457"/>
      <c r="H81" s="457"/>
      <c r="I81" s="457"/>
      <c r="J81" s="486"/>
      <c r="K81" s="5"/>
      <c r="L81" s="74"/>
    </row>
    <row r="82" spans="3:12" ht="13.5" customHeight="1">
      <c r="C82" s="487" t="s">
        <v>686</v>
      </c>
      <c r="D82" s="200"/>
      <c r="E82" s="200"/>
      <c r="F82" s="446"/>
      <c r="G82" s="488"/>
      <c r="H82" s="446"/>
      <c r="I82" s="489"/>
      <c r="J82" s="490"/>
      <c r="L82" s="196"/>
    </row>
    <row r="83" spans="3:12" ht="13.5" customHeight="1">
      <c r="C83" s="487" t="s">
        <v>687</v>
      </c>
      <c r="D83" s="448"/>
      <c r="E83" s="458"/>
      <c r="F83" s="458"/>
      <c r="G83" s="162"/>
      <c r="H83" s="205"/>
      <c r="I83" s="491"/>
      <c r="J83" s="492"/>
      <c r="L83" s="59"/>
    </row>
    <row r="84" spans="3:12" ht="13.5" customHeight="1">
      <c r="C84" s="487" t="s">
        <v>688</v>
      </c>
      <c r="D84" s="195"/>
      <c r="E84" s="459"/>
      <c r="F84" s="205"/>
      <c r="G84" s="162"/>
      <c r="H84" s="205"/>
      <c r="I84" s="491"/>
      <c r="J84" s="492"/>
      <c r="L84" s="59"/>
    </row>
    <row r="85" spans="3:12" ht="13.5" customHeight="1">
      <c r="C85" s="493" t="s">
        <v>689</v>
      </c>
      <c r="D85" s="494"/>
      <c r="E85" s="494"/>
      <c r="F85" s="494"/>
      <c r="G85" s="495"/>
      <c r="H85" s="494"/>
      <c r="I85" s="494"/>
      <c r="J85" s="496"/>
    </row>
    <row r="86" spans="3:12" ht="13.5" customHeight="1"/>
    <row r="87" spans="3:12" ht="13.5" customHeight="1"/>
    <row r="88" spans="3:12" ht="13.5" customHeight="1"/>
    <row r="89" spans="3:12" ht="13.5" customHeight="1"/>
    <row r="90" spans="3:12" ht="13.5" customHeight="1"/>
    <row r="91" spans="3:12" ht="13.5" customHeight="1"/>
    <row r="92" spans="3:12" ht="13.5" customHeight="1"/>
    <row r="93" spans="3:12" ht="13.5" customHeight="1"/>
    <row r="94" spans="3:12" ht="13.5" customHeight="1"/>
    <row r="95" spans="3:12" ht="13.5" customHeight="1"/>
    <row r="96" spans="3:12" ht="13.5" customHeight="1"/>
    <row r="97" spans="4:7" ht="13.5" customHeight="1">
      <c r="D97" s="33"/>
      <c r="E97" s="33"/>
      <c r="F97" s="33"/>
      <c r="G97" s="33"/>
    </row>
    <row r="98" spans="4:7" ht="13.5" customHeight="1"/>
    <row r="99" spans="4:7" ht="13.5" customHeight="1">
      <c r="D99" s="74"/>
    </row>
    <row r="100" spans="4:7" ht="13.5" customHeight="1"/>
    <row r="101" spans="4:7" ht="13.5" customHeight="1"/>
    <row r="102" spans="4:7" ht="13.5" customHeight="1">
      <c r="D102" s="202"/>
    </row>
    <row r="103" spans="4:7" ht="13.5" customHeight="1"/>
    <row r="104" spans="4:7" ht="13.5" customHeight="1"/>
    <row r="105" spans="4:7" ht="13.5" customHeight="1"/>
    <row r="106" spans="4:7" ht="13.5" customHeight="1"/>
    <row r="107" spans="4:7" ht="13.5" customHeight="1"/>
    <row r="108" spans="4:7" ht="13.5" customHeight="1"/>
    <row r="109" spans="4:7" ht="13.5" customHeight="1"/>
    <row r="110" spans="4:7" ht="13.5" customHeight="1"/>
    <row r="111" spans="4:7" ht="13.5" customHeight="1"/>
    <row r="112" spans="4:7"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spans="3:3" ht="13.5" customHeight="1"/>
    <row r="162" spans="3:3" ht="13.5" customHeight="1"/>
    <row r="163" spans="3:3" ht="13.5" customHeight="1"/>
    <row r="164" spans="3:3" ht="13.5" customHeight="1"/>
    <row r="165" spans="3:3" ht="13.5" customHeight="1"/>
    <row r="166" spans="3:3" ht="13.5" customHeight="1"/>
    <row r="167" spans="3:3" ht="13.5" customHeight="1"/>
    <row r="168" spans="3:3" ht="13.5" customHeight="1"/>
    <row r="169" spans="3:3" ht="13.5" customHeight="1"/>
    <row r="170" spans="3:3" ht="13.5" customHeight="1"/>
    <row r="171" spans="3:3" ht="13.5" customHeight="1"/>
    <row r="172" spans="3:3" ht="13.5" customHeight="1"/>
    <row r="173" spans="3:3" ht="13.5" customHeight="1"/>
    <row r="174" spans="3:3" ht="13.5" customHeight="1"/>
    <row r="175" spans="3:3" ht="13.5" customHeight="1"/>
    <row r="176" spans="3:3" ht="13.5" customHeight="1">
      <c r="C176" s="34"/>
    </row>
    <row r="177" spans="3:5" ht="13.5" customHeight="1">
      <c r="C177" s="34"/>
    </row>
    <row r="178" spans="3:5" ht="13.5" customHeight="1"/>
    <row r="179" spans="3:5" ht="13.5" customHeight="1"/>
    <row r="180" spans="3:5" ht="13.5" customHeight="1"/>
    <row r="181" spans="3:5" ht="13.5" customHeight="1"/>
    <row r="182" spans="3:5" ht="13.5" customHeight="1"/>
    <row r="183" spans="3:5" ht="13.5" customHeight="1"/>
    <row r="184" spans="3:5" ht="13.5" customHeight="1">
      <c r="D184" s="39"/>
      <c r="E184" s="39"/>
    </row>
    <row r="185" spans="3:5" ht="13.5" customHeight="1">
      <c r="D185" s="39"/>
      <c r="E185" s="39"/>
    </row>
    <row r="186" spans="3:5" ht="13.5" customHeight="1"/>
    <row r="187" spans="3:5" ht="13.5" customHeight="1"/>
    <row r="188" spans="3:5" ht="13.5" customHeight="1"/>
    <row r="189" spans="3:5" ht="13.5" customHeight="1"/>
    <row r="190" spans="3:5" ht="13.5" customHeight="1"/>
    <row r="191" spans="3:5" ht="13.5" customHeight="1"/>
    <row r="192" spans="3:5"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sheetData>
  <sheetProtection algorithmName="SHA-512" hashValue="ByPd4+3mdVHJpCoL7yWwcMsWgeSx1ehjRU2nuxp0cpXyd6FjsQJ6rtx4N66eIKLjc61bqD9K5L3PXuvyj95IfQ==" saltValue="LomNZAZmHnVmy64a8UeU6w==" spinCount="100000" sheet="1" objects="1" scenarios="1"/>
  <mergeCells count="70">
    <mergeCell ref="D72:E72"/>
    <mergeCell ref="D78:E78"/>
    <mergeCell ref="D79:E79"/>
    <mergeCell ref="D63:E63"/>
    <mergeCell ref="D64:E64"/>
    <mergeCell ref="D67:E67"/>
    <mergeCell ref="D70:E70"/>
    <mergeCell ref="D71:E71"/>
    <mergeCell ref="D75:E75"/>
    <mergeCell ref="D47:E47"/>
    <mergeCell ref="H47:J47"/>
    <mergeCell ref="D46:E46"/>
    <mergeCell ref="D56:E56"/>
    <mergeCell ref="D52:E52"/>
    <mergeCell ref="D53:E53"/>
    <mergeCell ref="D54:E54"/>
    <mergeCell ref="D48:E48"/>
    <mergeCell ref="D49:E49"/>
    <mergeCell ref="D51:E51"/>
    <mergeCell ref="D50:E50"/>
    <mergeCell ref="D55:E55"/>
    <mergeCell ref="I55:J55"/>
    <mergeCell ref="D59:E59"/>
    <mergeCell ref="D62:E62"/>
    <mergeCell ref="D24:E24"/>
    <mergeCell ref="D10:E10"/>
    <mergeCell ref="D13:E13"/>
    <mergeCell ref="D23:E23"/>
    <mergeCell ref="D26:E26"/>
    <mergeCell ref="D12:E12"/>
    <mergeCell ref="D22:E22"/>
    <mergeCell ref="D25:E25"/>
    <mergeCell ref="D20:E20"/>
    <mergeCell ref="D16:E16"/>
    <mergeCell ref="D17:E17"/>
    <mergeCell ref="D18:E18"/>
    <mergeCell ref="D19:E19"/>
    <mergeCell ref="D45:E45"/>
    <mergeCell ref="D43:E43"/>
    <mergeCell ref="D44:E44"/>
    <mergeCell ref="D28:E28"/>
    <mergeCell ref="D29:E29"/>
    <mergeCell ref="D33:E33"/>
    <mergeCell ref="D31:E31"/>
    <mergeCell ref="D32:E32"/>
    <mergeCell ref="D9:E9"/>
    <mergeCell ref="D27:E27"/>
    <mergeCell ref="C3:D3"/>
    <mergeCell ref="E3:J3"/>
    <mergeCell ref="D42:E42"/>
    <mergeCell ref="D39:E39"/>
    <mergeCell ref="D40:E40"/>
    <mergeCell ref="D38:E38"/>
    <mergeCell ref="D30:E30"/>
    <mergeCell ref="D36:E36"/>
    <mergeCell ref="D35:E35"/>
    <mergeCell ref="D41:E41"/>
    <mergeCell ref="D37:E37"/>
    <mergeCell ref="D34:E34"/>
    <mergeCell ref="D11:E11"/>
    <mergeCell ref="D8:E8"/>
    <mergeCell ref="I8:J8"/>
    <mergeCell ref="I52:J52"/>
    <mergeCell ref="H28:I28"/>
    <mergeCell ref="H37:I37"/>
    <mergeCell ref="I42:J42"/>
    <mergeCell ref="H40:I40"/>
    <mergeCell ref="H43:I43"/>
    <mergeCell ref="H46:J46"/>
    <mergeCell ref="I48:J48"/>
  </mergeCells>
  <phoneticPr fontId="5"/>
  <dataValidations xWindow="845" yWindow="607" count="22">
    <dataValidation type="list" allowBlank="1" showInputMessage="1" showErrorMessage="1" promptTitle="Yes/No選択" prompt="してください。Yesの場合、説明回数を入力してください。" sqref="H25" xr:uid="{00000000-0002-0000-0600-000000000000}">
      <formula1>施工環境</formula1>
    </dataValidation>
    <dataValidation type="list" allowBlank="1" showInputMessage="1" showErrorMessage="1" promptTitle="Yes/Noを選択" prompt="してください。_x000a_Yesの場合、理由を入力してください。" sqref="H27" xr:uid="{00000000-0002-0000-0600-000001000000}">
      <formula1>施工環境</formula1>
    </dataValidation>
    <dataValidation type="list" allowBlank="1" showInputMessage="1" showErrorMessage="1" promptTitle="Yes/Noを選択" prompt="してください。_x000a_Yesの場合、入力してください。" sqref="H11" xr:uid="{00000000-0002-0000-0600-000002000000}">
      <formula1>施工環境</formula1>
    </dataValidation>
    <dataValidation type="list" allowBlank="1" showInputMessage="1" showErrorMessage="1" promptTitle="Yes/Noを選択" prompt="してください。" sqref="H22" xr:uid="{00000000-0002-0000-0600-000003000000}">
      <formula1>施工環境</formula1>
    </dataValidation>
    <dataValidation type="list" allowBlank="1" showInputMessage="1" showErrorMessage="1" promptTitle="Yes/Noを選択" prompt="してください。Yesの場合、作業日数を入力してください。" sqref="H23" xr:uid="{00000000-0002-0000-0600-000004000000}">
      <formula1>施工環境</formula1>
    </dataValidation>
    <dataValidation type="list" allowBlank="1" showInputMessage="1" showErrorMessage="1" promptTitle="Yes/Noを選択" prompt="してください。_x000a_Yesの場合、理由を選択してください。_x000a_複数回答可" sqref="H29" xr:uid="{00000000-0002-0000-0600-000005000000}">
      <formula1>施工環境</formula1>
    </dataValidation>
    <dataValidation type="list" allowBlank="1" showInputMessage="1" showErrorMessage="1" promptTitle="Yes/Noを選択" prompt="してください。_x000a_Yesの場合、工期延期日数と理由を入力してください。" sqref="H38" xr:uid="{00000000-0002-0000-0600-000006000000}">
      <formula1>施工環境</formula1>
    </dataValidation>
    <dataValidation type="custom" allowBlank="1" showInputMessage="1" showErrorMessage="1" prompt="「6.その他」を選択した場合、入力してください。_x000a_" sqref="H37" xr:uid="{00000000-0002-0000-0600-000007000000}">
      <formula1>TRIM(H37)&lt;&gt;""</formula1>
    </dataValidation>
    <dataValidation type="whole" operator="greaterThanOrEqual" allowBlank="1" showInputMessage="1" showErrorMessage="1" sqref="H26" xr:uid="{00000000-0002-0000-0600-000008000000}">
      <formula1>1</formula1>
    </dataValidation>
    <dataValidation type="decimal" operator="greaterThanOrEqual" allowBlank="1" showInputMessage="1" showErrorMessage="1" sqref="H30" xr:uid="{00000000-0002-0000-0600-000009000000}">
      <formula1>30</formula1>
    </dataValidation>
    <dataValidation type="custom" allowBlank="1" showInputMessage="1" showErrorMessage="1" sqref="H43:H44 H40:H41 H54 H28 H10 H12:H13 H51 H62:H63 H70:H71 H78:H79" xr:uid="{00000000-0002-0000-0600-00000A000000}">
      <formula1>TRIM(H10)&lt;&gt;""</formula1>
    </dataValidation>
    <dataValidation type="whole" operator="greaterThanOrEqual" allowBlank="1" showInputMessage="1" showErrorMessage="1" sqref="H39 H9 H14 H49:H50 H65:H66 H60:H61 H57:H58 H68:H69 H72:H74 H76:H77" xr:uid="{00000000-0002-0000-0600-00000B000000}">
      <formula1>0</formula1>
    </dataValidation>
    <dataValidation type="whole" operator="greaterThan" allowBlank="1" showInputMessage="1" showErrorMessage="1" sqref="H24" xr:uid="{00000000-0002-0000-0600-00000C000000}">
      <formula1>0</formula1>
    </dataValidation>
    <dataValidation type="list" allowBlank="1" showInputMessage="1" showErrorMessage="1" promptTitle="Yes/Noを選択" prompt="してください。_x000a_Yesの場合、作業制約時間を入力してください。_x000a_" sqref="H45" xr:uid="{00000000-0002-0000-0600-00000D000000}">
      <formula1>施工環境</formula1>
    </dataValidation>
    <dataValidation type="list" allowBlank="1" showInputMessage="1" showErrorMessage="1" sqref="H46:J46" xr:uid="{00000000-0002-0000-0600-00000E000000}">
      <formula1>作業制約時間</formula1>
    </dataValidation>
    <dataValidation type="list" allowBlank="1" showInputMessage="1" showErrorMessage="1" prompt="理由が複数ある時は上に詰めて選択してください。" sqref="H31:H36" xr:uid="{00000000-0002-0000-0600-00000F000000}">
      <formula1>契約日から着手指定日まで30日以上あった理由</formula1>
    </dataValidation>
    <dataValidation type="list" allowBlank="1" showInputMessage="1" showErrorMessage="1" prompt="理由が複数ある時は上に詰めて選択してください。" sqref="H17:H21" xr:uid="{00000000-0002-0000-0600-000010000000}">
      <formula1>車線規制</formula1>
    </dataValidation>
    <dataValidation type="whole" allowBlank="1" showInputMessage="1" showErrorMessage="1" sqref="H53" xr:uid="{00000000-0002-0000-0600-000011000000}">
      <formula1>20</formula1>
      <formula2>999999999</formula2>
    </dataValidation>
    <dataValidation type="list" allowBlank="1" showInputMessage="1" showErrorMessage="1" sqref="H16" xr:uid="{00000000-0002-0000-0600-000012000000}">
      <formula1>車線規制</formula1>
    </dataValidation>
    <dataValidation allowBlank="1" showErrorMessage="1" prompt="_x000a_" sqref="H42 H55 H8 H48" xr:uid="{00000000-0002-0000-0600-000013000000}"/>
    <dataValidation type="list" operator="greaterThanOrEqual" allowBlank="1" showInputMessage="1" showErrorMessage="1" sqref="H56 H59 H64 H67 H75" xr:uid="{CE4631E4-62F7-41B4-A5C4-628A90A91636}">
      <formula1>年</formula1>
    </dataValidation>
    <dataValidation type="list" allowBlank="1" showInputMessage="1" showErrorMessage="1" promptTitle="Yes/Noを選択" prompt="してください。_x000a_Yesの場合、施工箇所数を入力してください。_x000a_" sqref="H52" xr:uid="{A7D26925-6671-485D-AC74-E9C320007A37}">
      <formula1>施工環境</formula1>
    </dataValidation>
  </dataValidations>
  <printOptions gridLinesSet="0"/>
  <pageMargins left="0.39370078740157483" right="0.15748031496062992" top="0.59055118110236227" bottom="0.23622047244094491" header="0.31496062992125984" footer="0.15748031496062992"/>
  <pageSetup paperSize="66" scale="195" orientation="portrait" r:id="rId1"/>
  <headerFooter alignWithMargins="0">
    <oddHeader>&amp;L&amp;A</oddHeader>
    <oddFooter>&amp;C&amp;P/&amp;N</oddFooter>
  </headerFooter>
  <ignoredErrors>
    <ignoredError sqref="G25 G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indexed="44"/>
    <pageSetUpPr autoPageBreaks="0"/>
  </sheetPr>
  <dimension ref="A1:W152"/>
  <sheetViews>
    <sheetView showGridLines="0" topLeftCell="A2" zoomScaleNormal="100" zoomScaleSheetLayoutView="100" workbookViewId="0">
      <selection activeCell="D3" sqref="D3"/>
    </sheetView>
  </sheetViews>
  <sheetFormatPr defaultRowHeight="12"/>
  <cols>
    <col min="1" max="1" width="2.375" style="49" customWidth="1"/>
    <col min="2" max="2" width="3.125" style="49" customWidth="1"/>
    <col min="3" max="3" width="6" style="49" customWidth="1"/>
    <col min="4" max="4" width="42.25" style="49" customWidth="1"/>
    <col min="5" max="5" width="19.375" style="49" customWidth="1"/>
    <col min="6" max="6" width="10" style="49" bestFit="1" customWidth="1"/>
    <col min="7" max="9" width="8.25" style="49" customWidth="1"/>
    <col min="10" max="10" width="11.875" style="49" customWidth="1"/>
    <col min="11" max="11" width="6.25" style="49" customWidth="1"/>
    <col min="12" max="12" width="10.375" style="49" customWidth="1"/>
    <col min="13" max="16" width="9.75" style="49" customWidth="1"/>
    <col min="17" max="17" width="10.625" style="49" customWidth="1"/>
    <col min="18" max="18" width="11.875" style="49" customWidth="1"/>
    <col min="19" max="21" width="0" style="49" hidden="1" customWidth="1"/>
    <col min="22" max="22" width="8" style="49" hidden="1" customWidth="1"/>
    <col min="23" max="23" width="10.125" style="49" hidden="1" customWidth="1"/>
    <col min="24" max="16384" width="9" style="49"/>
  </cols>
  <sheetData>
    <row r="1" spans="1:23" hidden="1">
      <c r="A1" s="808" t="s">
        <v>642</v>
      </c>
      <c r="B1" s="808">
        <f>COUNTIF(C54:K103,"※")</f>
        <v>0</v>
      </c>
      <c r="C1" s="809" t="s">
        <v>643</v>
      </c>
      <c r="D1" s="808">
        <f>COUNTIF(G10,"E")</f>
        <v>0</v>
      </c>
      <c r="S1" s="545"/>
      <c r="T1" s="545"/>
      <c r="U1" s="545"/>
      <c r="V1" s="1003"/>
      <c r="W1" s="1003"/>
    </row>
    <row r="2" spans="1:23" ht="27" customHeight="1">
      <c r="A2" s="375"/>
      <c r="B2" s="375"/>
      <c r="C2" s="810"/>
      <c r="D2" s="375"/>
    </row>
    <row r="3" spans="1:23" ht="24" customHeight="1">
      <c r="A3" s="375"/>
      <c r="B3" s="2277" t="s">
        <v>707</v>
      </c>
      <c r="C3" s="2366"/>
      <c r="D3" s="912" t="str">
        <f>IF(工事情報!G4="","",工事情報!G4)</f>
        <v/>
      </c>
      <c r="E3" s="2496"/>
      <c r="F3" s="2331"/>
      <c r="G3" s="2331"/>
      <c r="H3" s="2331"/>
    </row>
    <row r="4" spans="1:23" ht="30" customHeight="1">
      <c r="A4" s="375"/>
      <c r="B4" s="375"/>
      <c r="C4" s="810"/>
      <c r="D4" s="375"/>
    </row>
    <row r="5" spans="1:23" s="285" customFormat="1" ht="17.25">
      <c r="B5" s="245" t="s">
        <v>892</v>
      </c>
    </row>
    <row r="6" spans="1:23" ht="24" customHeight="1">
      <c r="B6" s="2497" t="s">
        <v>844</v>
      </c>
      <c r="C6" s="2498"/>
      <c r="D6" s="2498"/>
      <c r="E6" s="2498"/>
      <c r="F6" s="2498"/>
      <c r="G6" s="2498"/>
      <c r="H6" s="2498"/>
      <c r="I6" s="2498"/>
      <c r="J6" s="2498"/>
      <c r="K6" s="2498"/>
      <c r="L6" s="2498"/>
      <c r="M6" s="2499"/>
    </row>
    <row r="7" spans="1:23" s="245" customFormat="1" ht="24" customHeight="1">
      <c r="B7" s="2500"/>
      <c r="C7" s="2501"/>
      <c r="D7" s="2501"/>
      <c r="E7" s="2501"/>
      <c r="F7" s="2501"/>
      <c r="G7" s="2501"/>
      <c r="H7" s="2501"/>
      <c r="I7" s="2501"/>
      <c r="J7" s="2501"/>
      <c r="K7" s="2501"/>
      <c r="L7" s="2501"/>
      <c r="M7" s="2502"/>
    </row>
    <row r="8" spans="1:23" s="245" customFormat="1" ht="24" customHeight="1">
      <c r="B8" s="2503"/>
      <c r="C8" s="2504"/>
      <c r="D8" s="2504"/>
      <c r="E8" s="2504"/>
      <c r="F8" s="2504"/>
      <c r="G8" s="2504"/>
      <c r="H8" s="2504"/>
      <c r="I8" s="2504"/>
      <c r="J8" s="2504"/>
      <c r="K8" s="2504"/>
      <c r="L8" s="2504"/>
      <c r="M8" s="2505"/>
    </row>
    <row r="9" spans="1:23" ht="24" customHeight="1">
      <c r="C9" s="245"/>
      <c r="D9" s="245"/>
      <c r="E9" s="245"/>
    </row>
    <row r="10" spans="1:23" ht="30" customHeight="1">
      <c r="B10" s="245" t="s">
        <v>103</v>
      </c>
      <c r="C10" s="286"/>
      <c r="D10" s="245"/>
      <c r="E10" s="301" t="s">
        <v>756</v>
      </c>
      <c r="F10" s="302"/>
      <c r="G10" s="303" t="str">
        <f>IF(AND(G11&lt;G12,G13="")=TRUE,"E","")</f>
        <v/>
      </c>
      <c r="H10" s="2510" t="str">
        <f>IF(AND(G11&lt;G12,G13="")=TRUE,"当該二次製品材料費の合計が、『工事費』シートの『材料費』より大きくなっています。間違いがないか確認し、間違いについては修正してください。間違いがない場合、理由解答欄に当該二次製品の合計が、『工事費』シートの『材料費』より大きくなっている理由を入力してください。","")</f>
        <v/>
      </c>
      <c r="I10" s="2511"/>
      <c r="J10" s="2511"/>
      <c r="K10" s="2511"/>
      <c r="L10" s="2511"/>
      <c r="M10" s="2512"/>
      <c r="N10" s="818"/>
      <c r="O10" s="371"/>
      <c r="P10" s="371"/>
    </row>
    <row r="11" spans="1:23" ht="30" customHeight="1">
      <c r="B11" s="245" t="s">
        <v>104</v>
      </c>
      <c r="C11" s="245"/>
      <c r="D11" s="245"/>
      <c r="E11" s="1088" t="s">
        <v>757</v>
      </c>
      <c r="F11" s="300"/>
      <c r="G11" s="1032">
        <f>工事費!J10</f>
        <v>0</v>
      </c>
      <c r="H11" s="2513"/>
      <c r="I11" s="2514"/>
      <c r="J11" s="2514"/>
      <c r="K11" s="2514"/>
      <c r="L11" s="2514"/>
      <c r="M11" s="2515"/>
      <c r="N11" s="818"/>
      <c r="O11" s="371"/>
      <c r="P11" s="371"/>
    </row>
    <row r="12" spans="1:23" ht="38.25" customHeight="1">
      <c r="B12" s="2509" t="s">
        <v>164</v>
      </c>
      <c r="C12" s="2509"/>
      <c r="D12" s="2509"/>
      <c r="E12" s="820" t="s">
        <v>101</v>
      </c>
      <c r="F12" s="821"/>
      <c r="G12" s="822">
        <f>J104</f>
        <v>0</v>
      </c>
      <c r="H12" s="2513"/>
      <c r="I12" s="2516"/>
      <c r="J12" s="2516"/>
      <c r="K12" s="2516"/>
      <c r="L12" s="2516"/>
      <c r="M12" s="2515"/>
      <c r="N12" s="818"/>
      <c r="O12" s="371"/>
      <c r="P12" s="371"/>
    </row>
    <row r="13" spans="1:23">
      <c r="E13" s="2517" t="s">
        <v>1096</v>
      </c>
      <c r="F13" s="2519" t="str">
        <f>IF(G11&lt;G12,IF(G13="","※",""),"")</f>
        <v/>
      </c>
      <c r="G13" s="2521"/>
      <c r="H13" s="2522"/>
      <c r="I13" s="2522"/>
      <c r="J13" s="2522"/>
      <c r="K13" s="2522"/>
      <c r="L13" s="2522"/>
      <c r="M13" s="2523"/>
      <c r="N13" s="760"/>
      <c r="O13" s="760"/>
      <c r="P13" s="760"/>
    </row>
    <row r="14" spans="1:23" ht="12" customHeight="1">
      <c r="C14" s="133">
        <v>1</v>
      </c>
      <c r="D14" s="49" t="s">
        <v>711</v>
      </c>
      <c r="E14" s="2518"/>
      <c r="F14" s="2520"/>
      <c r="G14" s="2254"/>
      <c r="H14" s="2520"/>
      <c r="I14" s="2520"/>
      <c r="J14" s="2520"/>
      <c r="K14" s="2520"/>
      <c r="L14" s="2520"/>
      <c r="M14" s="2255"/>
    </row>
    <row r="15" spans="1:23" ht="13.5">
      <c r="C15" s="133">
        <v>2</v>
      </c>
      <c r="D15" s="49" t="s">
        <v>453</v>
      </c>
      <c r="E15" s="245"/>
    </row>
    <row r="16" spans="1:23" ht="13.5">
      <c r="C16" s="133">
        <v>3</v>
      </c>
      <c r="D16" s="283" t="s">
        <v>562</v>
      </c>
      <c r="E16" s="245"/>
    </row>
    <row r="17" spans="1:23" ht="13.5">
      <c r="C17" s="133">
        <v>4</v>
      </c>
      <c r="D17" s="284" t="s">
        <v>356</v>
      </c>
      <c r="E17" s="804"/>
      <c r="F17" s="804"/>
      <c r="G17" s="804"/>
      <c r="H17" s="804"/>
    </row>
    <row r="18" spans="1:23" ht="11.25" customHeight="1">
      <c r="C18" s="133">
        <v>5</v>
      </c>
      <c r="D18" s="284" t="s">
        <v>841</v>
      </c>
    </row>
    <row r="19" spans="1:23">
      <c r="C19" s="133">
        <v>6</v>
      </c>
      <c r="D19" s="284" t="s">
        <v>842</v>
      </c>
    </row>
    <row r="20" spans="1:23" ht="13.5">
      <c r="C20" s="133">
        <v>7</v>
      </c>
      <c r="D20" s="284" t="s">
        <v>454</v>
      </c>
      <c r="H20" s="245"/>
      <c r="I20" s="245"/>
    </row>
    <row r="21" spans="1:23" ht="14.25">
      <c r="B21" s="281"/>
      <c r="C21" s="133">
        <v>8</v>
      </c>
      <c r="D21" s="284" t="s">
        <v>563</v>
      </c>
      <c r="H21" s="245"/>
      <c r="I21" s="245"/>
    </row>
    <row r="22" spans="1:23" ht="14.25">
      <c r="B22" s="281"/>
      <c r="C22" s="133">
        <v>9</v>
      </c>
      <c r="D22" s="284" t="s">
        <v>843</v>
      </c>
      <c r="G22" s="280"/>
      <c r="H22" s="245"/>
      <c r="I22" s="245"/>
    </row>
    <row r="23" spans="1:23" ht="14.25">
      <c r="B23" s="281"/>
      <c r="C23" s="133">
        <v>10</v>
      </c>
      <c r="D23" s="284" t="s">
        <v>564</v>
      </c>
      <c r="E23" s="284"/>
    </row>
    <row r="24" spans="1:23" ht="14.25" customHeight="1">
      <c r="B24" s="281"/>
      <c r="C24" s="133">
        <v>11</v>
      </c>
      <c r="D24" s="284" t="s">
        <v>565</v>
      </c>
      <c r="E24" s="284"/>
      <c r="F24" s="280"/>
      <c r="G24" s="280"/>
      <c r="H24" s="280"/>
      <c r="I24" s="280"/>
      <c r="W24" s="245"/>
    </row>
    <row r="25" spans="1:23" s="280" customFormat="1" ht="14.25" customHeight="1">
      <c r="A25" s="291"/>
      <c r="B25" s="281"/>
      <c r="C25" s="133">
        <v>12</v>
      </c>
      <c r="D25" s="284" t="s">
        <v>566</v>
      </c>
      <c r="E25" s="284"/>
      <c r="O25" s="281"/>
      <c r="P25" s="282"/>
      <c r="W25" s="245"/>
    </row>
    <row r="26" spans="1:23" s="280" customFormat="1" ht="14.25" customHeight="1">
      <c r="A26" s="291"/>
      <c r="B26" s="281"/>
      <c r="C26" s="133">
        <v>13</v>
      </c>
      <c r="D26" s="284" t="s">
        <v>567</v>
      </c>
      <c r="E26" s="284"/>
      <c r="O26" s="281"/>
      <c r="P26" s="282"/>
      <c r="S26" s="49"/>
      <c r="T26" s="49"/>
      <c r="U26" s="245"/>
      <c r="V26" s="245"/>
      <c r="W26" s="245"/>
    </row>
    <row r="27" spans="1:23" s="280" customFormat="1" ht="14.25" customHeight="1">
      <c r="A27" s="291"/>
      <c r="B27" s="281"/>
      <c r="C27" s="133">
        <v>14</v>
      </c>
      <c r="D27" s="284" t="s">
        <v>568</v>
      </c>
      <c r="E27" s="284"/>
      <c r="O27" s="281"/>
      <c r="P27" s="282"/>
      <c r="S27" s="49"/>
      <c r="T27" s="49"/>
      <c r="U27" s="245"/>
      <c r="V27" s="245"/>
      <c r="W27" s="245"/>
    </row>
    <row r="28" spans="1:23" s="280" customFormat="1" ht="14.25" customHeight="1">
      <c r="A28" s="291"/>
      <c r="B28" s="281"/>
      <c r="C28" s="133">
        <v>15</v>
      </c>
      <c r="D28" s="284" t="s">
        <v>569</v>
      </c>
      <c r="E28" s="284"/>
      <c r="O28" s="281"/>
      <c r="P28" s="282"/>
      <c r="S28" s="49"/>
      <c r="T28" s="49"/>
      <c r="U28" s="245"/>
      <c r="V28" s="245"/>
      <c r="W28" s="245"/>
    </row>
    <row r="29" spans="1:23" s="280" customFormat="1" ht="14.25" customHeight="1">
      <c r="A29" s="291"/>
      <c r="B29" s="281"/>
      <c r="C29" s="133">
        <v>16</v>
      </c>
      <c r="D29" s="284" t="s">
        <v>570</v>
      </c>
      <c r="E29" s="284"/>
      <c r="O29" s="281"/>
      <c r="P29" s="282"/>
      <c r="S29" s="49"/>
      <c r="T29" s="49"/>
      <c r="U29" s="245"/>
      <c r="V29" s="245"/>
      <c r="W29" s="245"/>
    </row>
    <row r="30" spans="1:23" s="280" customFormat="1" ht="14.25" customHeight="1">
      <c r="A30" s="291"/>
      <c r="B30" s="281"/>
      <c r="C30" s="133">
        <v>17</v>
      </c>
      <c r="D30" s="284" t="s">
        <v>571</v>
      </c>
      <c r="E30" s="284"/>
      <c r="O30" s="281"/>
      <c r="P30" s="282"/>
      <c r="S30" s="49"/>
      <c r="T30" s="49"/>
      <c r="U30" s="245"/>
      <c r="V30" s="245"/>
      <c r="W30" s="245"/>
    </row>
    <row r="31" spans="1:23" s="280" customFormat="1" ht="14.25" customHeight="1">
      <c r="A31" s="291"/>
      <c r="B31" s="281"/>
      <c r="C31" s="133">
        <v>18</v>
      </c>
      <c r="D31" s="284" t="s">
        <v>357</v>
      </c>
      <c r="E31" s="284"/>
      <c r="O31" s="281"/>
      <c r="P31" s="282"/>
      <c r="S31" s="49"/>
      <c r="T31" s="49"/>
      <c r="U31" s="245"/>
      <c r="V31" s="245"/>
      <c r="W31" s="245"/>
    </row>
    <row r="32" spans="1:23" s="280" customFormat="1" ht="14.25" customHeight="1">
      <c r="A32" s="291"/>
      <c r="B32" s="281"/>
      <c r="C32" s="133">
        <v>19</v>
      </c>
      <c r="D32" s="284" t="s">
        <v>572</v>
      </c>
      <c r="E32" s="284"/>
      <c r="O32" s="281"/>
      <c r="P32" s="282"/>
      <c r="S32" s="49"/>
      <c r="T32" s="49"/>
      <c r="U32" s="245"/>
      <c r="V32" s="245"/>
      <c r="W32" s="245"/>
    </row>
    <row r="33" spans="1:23" s="280" customFormat="1" ht="14.25" customHeight="1">
      <c r="A33" s="291"/>
      <c r="B33" s="281"/>
      <c r="C33" s="133">
        <v>20</v>
      </c>
      <c r="D33" s="284" t="s">
        <v>573</v>
      </c>
      <c r="E33" s="284"/>
      <c r="O33" s="281"/>
      <c r="P33" s="282"/>
      <c r="S33" s="49"/>
      <c r="T33" s="49"/>
      <c r="U33" s="245"/>
      <c r="V33" s="245"/>
      <c r="W33" s="245"/>
    </row>
    <row r="34" spans="1:23" s="280" customFormat="1" ht="14.25" customHeight="1">
      <c r="A34" s="291"/>
      <c r="B34" s="281"/>
      <c r="C34" s="133">
        <v>21</v>
      </c>
      <c r="D34" s="284" t="s">
        <v>574</v>
      </c>
      <c r="E34" s="284"/>
      <c r="O34" s="281"/>
      <c r="P34" s="282"/>
      <c r="S34" s="49"/>
      <c r="T34" s="49"/>
      <c r="U34" s="245"/>
      <c r="V34" s="245"/>
      <c r="W34" s="245"/>
    </row>
    <row r="35" spans="1:23" s="280" customFormat="1" ht="14.25" customHeight="1">
      <c r="A35" s="291"/>
      <c r="B35" s="281"/>
      <c r="C35" s="133">
        <v>22</v>
      </c>
      <c r="D35" s="284" t="s">
        <v>575</v>
      </c>
      <c r="E35" s="284"/>
      <c r="O35" s="281"/>
      <c r="P35" s="282"/>
      <c r="S35" s="49"/>
      <c r="T35" s="49"/>
      <c r="U35" s="245"/>
      <c r="V35" s="245"/>
      <c r="W35" s="245"/>
    </row>
    <row r="36" spans="1:23" s="280" customFormat="1" ht="14.25" customHeight="1">
      <c r="A36" s="291"/>
      <c r="B36" s="281"/>
      <c r="C36" s="133">
        <v>23</v>
      </c>
      <c r="D36" s="284" t="s">
        <v>539</v>
      </c>
      <c r="E36" s="284"/>
      <c r="O36" s="281"/>
      <c r="P36" s="282"/>
      <c r="S36" s="49"/>
      <c r="T36" s="49"/>
      <c r="U36" s="245"/>
      <c r="V36" s="245"/>
      <c r="W36" s="245"/>
    </row>
    <row r="37" spans="1:23" s="280" customFormat="1" ht="14.25" customHeight="1">
      <c r="A37" s="291"/>
      <c r="B37" s="281"/>
      <c r="C37" s="133">
        <v>24</v>
      </c>
      <c r="D37" s="284" t="s">
        <v>540</v>
      </c>
      <c r="E37" s="284"/>
      <c r="O37" s="281"/>
      <c r="P37" s="282"/>
      <c r="S37" s="49"/>
      <c r="T37" s="49"/>
      <c r="U37" s="245"/>
      <c r="V37" s="245"/>
      <c r="W37" s="245"/>
    </row>
    <row r="38" spans="1:23" s="280" customFormat="1" ht="14.25" customHeight="1">
      <c r="A38" s="291"/>
      <c r="B38" s="281"/>
      <c r="C38" s="133">
        <v>25</v>
      </c>
      <c r="D38" s="284" t="s">
        <v>577</v>
      </c>
      <c r="E38" s="284"/>
      <c r="O38" s="281"/>
      <c r="P38" s="282"/>
      <c r="S38" s="49"/>
      <c r="T38" s="49"/>
      <c r="U38" s="245"/>
      <c r="V38" s="245"/>
      <c r="W38" s="245"/>
    </row>
    <row r="39" spans="1:23" s="280" customFormat="1" ht="14.25" customHeight="1">
      <c r="A39" s="291"/>
      <c r="B39" s="281"/>
      <c r="C39" s="133">
        <v>26</v>
      </c>
      <c r="D39" s="284" t="s">
        <v>358</v>
      </c>
      <c r="E39" s="284"/>
      <c r="O39" s="281"/>
      <c r="P39" s="282"/>
      <c r="S39" s="49"/>
      <c r="T39" s="49"/>
      <c r="U39" s="245"/>
      <c r="V39" s="245"/>
      <c r="W39" s="245"/>
    </row>
    <row r="40" spans="1:23" s="280" customFormat="1" ht="14.25" customHeight="1">
      <c r="A40" s="291"/>
      <c r="B40" s="281"/>
      <c r="C40" s="133">
        <v>27</v>
      </c>
      <c r="D40" s="284" t="s">
        <v>578</v>
      </c>
      <c r="E40" s="284"/>
      <c r="O40" s="281"/>
      <c r="P40" s="282"/>
      <c r="S40" s="49"/>
      <c r="T40" s="49"/>
    </row>
    <row r="41" spans="1:23" s="280" customFormat="1" ht="14.25" customHeight="1">
      <c r="A41" s="291"/>
      <c r="B41" s="281"/>
      <c r="C41" s="133">
        <v>28</v>
      </c>
      <c r="D41" s="284" t="s">
        <v>579</v>
      </c>
      <c r="E41" s="284"/>
      <c r="O41" s="281"/>
      <c r="P41" s="282"/>
      <c r="S41" s="49"/>
      <c r="T41" s="49"/>
    </row>
    <row r="42" spans="1:23" s="280" customFormat="1" ht="14.25" customHeight="1">
      <c r="A42" s="291"/>
      <c r="B42" s="281"/>
      <c r="C42" s="133">
        <v>29</v>
      </c>
      <c r="D42" s="284" t="s">
        <v>46</v>
      </c>
      <c r="E42" s="284"/>
      <c r="O42" s="281"/>
      <c r="P42" s="282"/>
      <c r="S42" s="49"/>
      <c r="T42" s="49"/>
    </row>
    <row r="43" spans="1:23" s="280" customFormat="1" ht="14.25" customHeight="1">
      <c r="A43" s="291"/>
      <c r="B43" s="281"/>
      <c r="C43" s="133">
        <v>30</v>
      </c>
      <c r="D43" s="284" t="s">
        <v>47</v>
      </c>
      <c r="E43" s="284"/>
      <c r="O43" s="281"/>
      <c r="P43" s="282"/>
      <c r="S43" s="49"/>
      <c r="T43" s="49"/>
    </row>
    <row r="44" spans="1:23" s="280" customFormat="1" ht="14.25" customHeight="1">
      <c r="A44" s="291"/>
      <c r="B44" s="281"/>
      <c r="C44" s="133">
        <v>31</v>
      </c>
      <c r="D44" s="283" t="s">
        <v>576</v>
      </c>
      <c r="E44" s="284"/>
      <c r="O44" s="281"/>
      <c r="P44" s="282"/>
      <c r="S44" s="49"/>
      <c r="T44" s="49"/>
    </row>
    <row r="45" spans="1:23" s="280" customFormat="1" ht="14.25" customHeight="1">
      <c r="A45" s="291"/>
      <c r="D45" s="283"/>
      <c r="E45" s="284"/>
      <c r="O45" s="281"/>
      <c r="P45" s="282"/>
      <c r="S45" s="49"/>
      <c r="T45" s="49"/>
    </row>
    <row r="46" spans="1:23" s="280" customFormat="1" ht="14.25" customHeight="1">
      <c r="A46" s="291"/>
      <c r="B46" s="49" t="s">
        <v>105</v>
      </c>
      <c r="C46" s="49"/>
      <c r="D46" s="283"/>
      <c r="E46" s="284"/>
      <c r="O46" s="281"/>
      <c r="P46" s="282"/>
      <c r="S46" s="49"/>
      <c r="T46" s="49"/>
    </row>
    <row r="47" spans="1:23" s="280" customFormat="1" ht="14.25" customHeight="1">
      <c r="A47" s="291"/>
      <c r="C47" s="133">
        <v>27</v>
      </c>
      <c r="D47" s="49" t="s">
        <v>43</v>
      </c>
      <c r="O47" s="281"/>
      <c r="P47" s="282"/>
      <c r="S47" s="49"/>
      <c r="T47" s="49"/>
    </row>
    <row r="48" spans="1:23" s="280" customFormat="1" ht="14.25" customHeight="1">
      <c r="A48" s="291"/>
      <c r="C48" s="133">
        <v>28</v>
      </c>
      <c r="D48" s="49" t="s">
        <v>44</v>
      </c>
      <c r="O48" s="281"/>
      <c r="P48" s="282"/>
      <c r="S48" s="49"/>
      <c r="T48" s="49"/>
    </row>
    <row r="49" spans="1:23" s="280" customFormat="1" ht="14.25" customHeight="1">
      <c r="A49" s="291"/>
      <c r="C49" s="287" t="s">
        <v>1234</v>
      </c>
      <c r="O49" s="281"/>
      <c r="P49" s="282"/>
      <c r="S49" s="49"/>
      <c r="T49" s="49"/>
    </row>
    <row r="50" spans="1:23" s="280" customFormat="1" ht="14.25" customHeight="1">
      <c r="A50" s="291"/>
      <c r="C50" s="287" t="s">
        <v>753</v>
      </c>
      <c r="O50" s="281"/>
      <c r="P50" s="282"/>
      <c r="S50" s="49"/>
      <c r="T50" s="49"/>
    </row>
    <row r="51" spans="1:23" s="280" customFormat="1" ht="14.25" customHeight="1">
      <c r="A51" s="291"/>
      <c r="B51" s="281"/>
      <c r="C51" s="133"/>
      <c r="D51" s="283"/>
      <c r="O51" s="281"/>
      <c r="P51" s="282"/>
      <c r="S51" s="49"/>
      <c r="T51" s="49"/>
    </row>
    <row r="52" spans="1:23" ht="26.25" customHeight="1">
      <c r="C52" s="2524" t="s">
        <v>968</v>
      </c>
      <c r="D52" s="2366"/>
      <c r="E52" s="2366"/>
      <c r="F52" s="2366"/>
      <c r="G52" s="2366"/>
      <c r="H52" s="2366"/>
      <c r="I52" s="2366"/>
      <c r="J52" s="2367"/>
      <c r="K52" s="2524" t="s">
        <v>393</v>
      </c>
      <c r="L52" s="2366"/>
      <c r="M52" s="2366"/>
      <c r="N52" s="2366"/>
      <c r="O52" s="2366"/>
      <c r="P52" s="2366"/>
      <c r="Q52" s="2366"/>
      <c r="R52" s="2367"/>
      <c r="S52" s="2506" t="s">
        <v>658</v>
      </c>
      <c r="T52" s="2525" t="s">
        <v>1109</v>
      </c>
      <c r="U52" s="2506" t="s">
        <v>659</v>
      </c>
      <c r="V52" s="2506" t="s">
        <v>1087</v>
      </c>
      <c r="W52" s="2507" t="s">
        <v>1088</v>
      </c>
    </row>
    <row r="53" spans="1:23" ht="36.75" customHeight="1">
      <c r="C53" s="854" t="s">
        <v>641</v>
      </c>
      <c r="D53" s="819" t="s">
        <v>443</v>
      </c>
      <c r="E53" s="817" t="s">
        <v>646</v>
      </c>
      <c r="F53" s="296" t="s">
        <v>444</v>
      </c>
      <c r="G53" s="811" t="s">
        <v>752</v>
      </c>
      <c r="H53" s="812" t="s">
        <v>445</v>
      </c>
      <c r="I53" s="812" t="s">
        <v>644</v>
      </c>
      <c r="J53" s="297" t="s">
        <v>751</v>
      </c>
      <c r="K53" s="854" t="s">
        <v>641</v>
      </c>
      <c r="L53" s="815" t="s">
        <v>647</v>
      </c>
      <c r="M53" s="812" t="s">
        <v>645</v>
      </c>
      <c r="N53" s="811" t="s">
        <v>444</v>
      </c>
      <c r="O53" s="811" t="s">
        <v>752</v>
      </c>
      <c r="P53" s="812" t="s">
        <v>445</v>
      </c>
      <c r="Q53" s="812" t="s">
        <v>644</v>
      </c>
      <c r="R53" s="297" t="s">
        <v>751</v>
      </c>
      <c r="S53" s="2506"/>
      <c r="T53" s="2526"/>
      <c r="U53" s="2506"/>
      <c r="V53" s="2506"/>
      <c r="W53" s="2508"/>
    </row>
    <row r="54" spans="1:23" ht="36" customHeight="1">
      <c r="B54" s="49">
        <v>1</v>
      </c>
      <c r="C54" s="907" t="str">
        <f>IF(OR($S54=T54,$S54=0),"","※")</f>
        <v/>
      </c>
      <c r="D54" s="1008"/>
      <c r="E54" s="305"/>
      <c r="F54" s="305"/>
      <c r="G54" s="813"/>
      <c r="H54" s="814"/>
      <c r="I54" s="917"/>
      <c r="J54" s="306">
        <f t="shared" ref="J54:J103" si="0">ROUND(H54*I54/1000,0)</f>
        <v>0</v>
      </c>
      <c r="K54" s="927" t="str">
        <f>IF(D54="","",IF(OR(V54="×",AND(V54="○",L54="不明")),"以降,入力不要",IF(AND(V54="○",U54&lt;&gt;0),"※","")))</f>
        <v/>
      </c>
      <c r="L54" s="721"/>
      <c r="M54" s="816"/>
      <c r="N54" s="813"/>
      <c r="O54" s="813"/>
      <c r="P54" s="814"/>
      <c r="Q54" s="814"/>
      <c r="R54" s="306">
        <f t="shared" ref="R54:R85" si="1">ROUND(P54*Q54/1000,0)</f>
        <v>0</v>
      </c>
      <c r="S54" s="823">
        <f>COUNTBLANK($E54:$I54)</f>
        <v>5</v>
      </c>
      <c r="T54" s="823">
        <f>IF(D54="",5,IF(D54=$D$44,0,1))</f>
        <v>5</v>
      </c>
      <c r="U54" s="823">
        <f>IF(L54="不明",0,COUNTBLANK(L54:Q54)-1)</f>
        <v>5</v>
      </c>
      <c r="V54" s="823" t="str">
        <f t="shared" ref="V54:V85" si="2">IF(OR(D54=$D$40,D54=$D$41),"○","×")</f>
        <v>×</v>
      </c>
      <c r="W54" s="823" t="str">
        <f>IF(OR(U54=0,U54=5),"○","×")</f>
        <v>○</v>
      </c>
    </row>
    <row r="55" spans="1:23" ht="36" customHeight="1">
      <c r="B55" s="49">
        <v>2</v>
      </c>
      <c r="C55" s="907" t="str">
        <f t="shared" ref="C55:C103" si="3">IF(OR($S55=T55,$S55=0),"","※")</f>
        <v/>
      </c>
      <c r="D55" s="1008"/>
      <c r="E55" s="305"/>
      <c r="F55" s="305"/>
      <c r="G55" s="813"/>
      <c r="H55" s="814"/>
      <c r="I55" s="814"/>
      <c r="J55" s="306">
        <f t="shared" si="0"/>
        <v>0</v>
      </c>
      <c r="K55" s="927" t="str">
        <f t="shared" ref="K55:K103" si="4">IF(D55="","",IF(OR(V55="×",AND(V55="○",L55="不明")),"以降,入力不要",IF(AND(V55="○",U55&lt;&gt;0),"※","")))</f>
        <v/>
      </c>
      <c r="L55" s="721"/>
      <c r="M55" s="816"/>
      <c r="N55" s="813"/>
      <c r="O55" s="813"/>
      <c r="P55" s="814"/>
      <c r="Q55" s="814"/>
      <c r="R55" s="306">
        <f t="shared" si="1"/>
        <v>0</v>
      </c>
      <c r="S55" s="823">
        <f t="shared" ref="S55:S103" si="5">COUNTBLANK($E55:$I55)</f>
        <v>5</v>
      </c>
      <c r="T55" s="823">
        <f t="shared" ref="T55:T103" si="6">IF(D55="",5,IF(D55=$D$44,0,1))</f>
        <v>5</v>
      </c>
      <c r="U55" s="823">
        <f t="shared" ref="U55:U103" si="7">IF(L55="不明",0,COUNTBLANK(L55:Q55)-1)</f>
        <v>5</v>
      </c>
      <c r="V55" s="823" t="str">
        <f t="shared" si="2"/>
        <v>×</v>
      </c>
      <c r="W55" s="823" t="str">
        <f t="shared" ref="W55:W103" si="8">IF(OR(U55=0,U55=5),"○","×")</f>
        <v>○</v>
      </c>
    </row>
    <row r="56" spans="1:23" ht="36" customHeight="1">
      <c r="B56" s="49">
        <v>3</v>
      </c>
      <c r="C56" s="907" t="str">
        <f t="shared" si="3"/>
        <v/>
      </c>
      <c r="D56" s="1008"/>
      <c r="E56" s="305"/>
      <c r="F56" s="305"/>
      <c r="G56" s="813"/>
      <c r="H56" s="814"/>
      <c r="I56" s="814"/>
      <c r="J56" s="306">
        <f t="shared" si="0"/>
        <v>0</v>
      </c>
      <c r="K56" s="927" t="str">
        <f t="shared" si="4"/>
        <v/>
      </c>
      <c r="L56" s="721"/>
      <c r="M56" s="816"/>
      <c r="N56" s="813"/>
      <c r="O56" s="813"/>
      <c r="P56" s="814"/>
      <c r="Q56" s="814"/>
      <c r="R56" s="306">
        <f t="shared" si="1"/>
        <v>0</v>
      </c>
      <c r="S56" s="823">
        <f t="shared" si="5"/>
        <v>5</v>
      </c>
      <c r="T56" s="823">
        <f t="shared" si="6"/>
        <v>5</v>
      </c>
      <c r="U56" s="823">
        <f t="shared" si="7"/>
        <v>5</v>
      </c>
      <c r="V56" s="823" t="str">
        <f t="shared" si="2"/>
        <v>×</v>
      </c>
      <c r="W56" s="823" t="str">
        <f t="shared" si="8"/>
        <v>○</v>
      </c>
    </row>
    <row r="57" spans="1:23" ht="36" customHeight="1">
      <c r="B57" s="49">
        <v>4</v>
      </c>
      <c r="C57" s="907" t="str">
        <f t="shared" si="3"/>
        <v/>
      </c>
      <c r="D57" s="1008"/>
      <c r="E57" s="305"/>
      <c r="F57" s="305"/>
      <c r="G57" s="813"/>
      <c r="H57" s="814"/>
      <c r="I57" s="814"/>
      <c r="J57" s="306">
        <f t="shared" si="0"/>
        <v>0</v>
      </c>
      <c r="K57" s="927" t="str">
        <f t="shared" si="4"/>
        <v/>
      </c>
      <c r="L57" s="721"/>
      <c r="M57" s="816"/>
      <c r="N57" s="813"/>
      <c r="O57" s="813"/>
      <c r="P57" s="814"/>
      <c r="Q57" s="814"/>
      <c r="R57" s="306">
        <f t="shared" si="1"/>
        <v>0</v>
      </c>
      <c r="S57" s="823">
        <f t="shared" si="5"/>
        <v>5</v>
      </c>
      <c r="T57" s="823">
        <f t="shared" si="6"/>
        <v>5</v>
      </c>
      <c r="U57" s="823">
        <f t="shared" si="7"/>
        <v>5</v>
      </c>
      <c r="V57" s="823" t="str">
        <f t="shared" si="2"/>
        <v>×</v>
      </c>
      <c r="W57" s="823" t="str">
        <f t="shared" si="8"/>
        <v>○</v>
      </c>
    </row>
    <row r="58" spans="1:23" ht="36" customHeight="1">
      <c r="B58" s="49">
        <v>5</v>
      </c>
      <c r="C58" s="907" t="str">
        <f t="shared" si="3"/>
        <v/>
      </c>
      <c r="D58" s="1008"/>
      <c r="E58" s="305"/>
      <c r="F58" s="305"/>
      <c r="G58" s="813"/>
      <c r="H58" s="814"/>
      <c r="I58" s="814"/>
      <c r="J58" s="306">
        <f t="shared" si="0"/>
        <v>0</v>
      </c>
      <c r="K58" s="927" t="str">
        <f t="shared" si="4"/>
        <v/>
      </c>
      <c r="L58" s="721"/>
      <c r="M58" s="816"/>
      <c r="N58" s="813"/>
      <c r="O58" s="813"/>
      <c r="P58" s="814"/>
      <c r="Q58" s="814"/>
      <c r="R58" s="306">
        <f t="shared" si="1"/>
        <v>0</v>
      </c>
      <c r="S58" s="823">
        <f t="shared" si="5"/>
        <v>5</v>
      </c>
      <c r="T58" s="823">
        <f t="shared" si="6"/>
        <v>5</v>
      </c>
      <c r="U58" s="823">
        <f t="shared" si="7"/>
        <v>5</v>
      </c>
      <c r="V58" s="823" t="str">
        <f t="shared" si="2"/>
        <v>×</v>
      </c>
      <c r="W58" s="823" t="str">
        <f t="shared" si="8"/>
        <v>○</v>
      </c>
    </row>
    <row r="59" spans="1:23" ht="36" customHeight="1">
      <c r="B59" s="49">
        <v>6</v>
      </c>
      <c r="C59" s="907" t="str">
        <f t="shared" si="3"/>
        <v/>
      </c>
      <c r="D59" s="1008"/>
      <c r="E59" s="305"/>
      <c r="F59" s="305"/>
      <c r="G59" s="813"/>
      <c r="H59" s="814"/>
      <c r="I59" s="814"/>
      <c r="J59" s="306">
        <f t="shared" si="0"/>
        <v>0</v>
      </c>
      <c r="K59" s="927" t="str">
        <f t="shared" si="4"/>
        <v/>
      </c>
      <c r="L59" s="721"/>
      <c r="M59" s="816"/>
      <c r="N59" s="813"/>
      <c r="O59" s="813"/>
      <c r="P59" s="814"/>
      <c r="Q59" s="814"/>
      <c r="R59" s="306">
        <f t="shared" si="1"/>
        <v>0</v>
      </c>
      <c r="S59" s="823">
        <f t="shared" si="5"/>
        <v>5</v>
      </c>
      <c r="T59" s="823">
        <f t="shared" si="6"/>
        <v>5</v>
      </c>
      <c r="U59" s="823">
        <f t="shared" si="7"/>
        <v>5</v>
      </c>
      <c r="V59" s="823" t="str">
        <f t="shared" si="2"/>
        <v>×</v>
      </c>
      <c r="W59" s="823" t="str">
        <f t="shared" si="8"/>
        <v>○</v>
      </c>
    </row>
    <row r="60" spans="1:23" ht="36" customHeight="1">
      <c r="B60" s="49">
        <v>7</v>
      </c>
      <c r="C60" s="907" t="str">
        <f t="shared" si="3"/>
        <v/>
      </c>
      <c r="D60" s="1008"/>
      <c r="E60" s="305"/>
      <c r="F60" s="305"/>
      <c r="G60" s="813"/>
      <c r="H60" s="814"/>
      <c r="I60" s="814"/>
      <c r="J60" s="306">
        <f t="shared" si="0"/>
        <v>0</v>
      </c>
      <c r="K60" s="927" t="str">
        <f t="shared" si="4"/>
        <v/>
      </c>
      <c r="L60" s="721"/>
      <c r="M60" s="816"/>
      <c r="N60" s="813"/>
      <c r="O60" s="813"/>
      <c r="P60" s="814"/>
      <c r="Q60" s="814"/>
      <c r="R60" s="306">
        <f t="shared" si="1"/>
        <v>0</v>
      </c>
      <c r="S60" s="823">
        <f t="shared" si="5"/>
        <v>5</v>
      </c>
      <c r="T60" s="823">
        <f t="shared" si="6"/>
        <v>5</v>
      </c>
      <c r="U60" s="823">
        <f t="shared" si="7"/>
        <v>5</v>
      </c>
      <c r="V60" s="823" t="str">
        <f t="shared" si="2"/>
        <v>×</v>
      </c>
      <c r="W60" s="823" t="str">
        <f t="shared" si="8"/>
        <v>○</v>
      </c>
    </row>
    <row r="61" spans="1:23" ht="36" customHeight="1">
      <c r="B61" s="49">
        <v>8</v>
      </c>
      <c r="C61" s="907" t="str">
        <f t="shared" si="3"/>
        <v/>
      </c>
      <c r="D61" s="1008"/>
      <c r="E61" s="305"/>
      <c r="F61" s="305"/>
      <c r="G61" s="813"/>
      <c r="H61" s="814"/>
      <c r="I61" s="814"/>
      <c r="J61" s="306">
        <f t="shared" si="0"/>
        <v>0</v>
      </c>
      <c r="K61" s="927" t="str">
        <f t="shared" si="4"/>
        <v/>
      </c>
      <c r="L61" s="721"/>
      <c r="M61" s="816"/>
      <c r="N61" s="813"/>
      <c r="O61" s="813"/>
      <c r="P61" s="814"/>
      <c r="Q61" s="814"/>
      <c r="R61" s="306">
        <f t="shared" si="1"/>
        <v>0</v>
      </c>
      <c r="S61" s="823">
        <f t="shared" si="5"/>
        <v>5</v>
      </c>
      <c r="T61" s="823">
        <f t="shared" si="6"/>
        <v>5</v>
      </c>
      <c r="U61" s="823">
        <f t="shared" si="7"/>
        <v>5</v>
      </c>
      <c r="V61" s="823" t="str">
        <f t="shared" si="2"/>
        <v>×</v>
      </c>
      <c r="W61" s="823" t="str">
        <f t="shared" si="8"/>
        <v>○</v>
      </c>
    </row>
    <row r="62" spans="1:23" ht="36" customHeight="1">
      <c r="B62" s="49">
        <v>9</v>
      </c>
      <c r="C62" s="907" t="str">
        <f t="shared" si="3"/>
        <v/>
      </c>
      <c r="D62" s="1008"/>
      <c r="E62" s="305"/>
      <c r="F62" s="305"/>
      <c r="G62" s="813"/>
      <c r="H62" s="814"/>
      <c r="I62" s="814"/>
      <c r="J62" s="306">
        <f t="shared" si="0"/>
        <v>0</v>
      </c>
      <c r="K62" s="927" t="str">
        <f t="shared" si="4"/>
        <v/>
      </c>
      <c r="L62" s="721"/>
      <c r="M62" s="816"/>
      <c r="N62" s="813"/>
      <c r="O62" s="813"/>
      <c r="P62" s="814"/>
      <c r="Q62" s="814"/>
      <c r="R62" s="306">
        <f t="shared" si="1"/>
        <v>0</v>
      </c>
      <c r="S62" s="823">
        <f t="shared" si="5"/>
        <v>5</v>
      </c>
      <c r="T62" s="823">
        <f t="shared" si="6"/>
        <v>5</v>
      </c>
      <c r="U62" s="823">
        <f t="shared" si="7"/>
        <v>5</v>
      </c>
      <c r="V62" s="823" t="str">
        <f t="shared" si="2"/>
        <v>×</v>
      </c>
      <c r="W62" s="823" t="str">
        <f t="shared" si="8"/>
        <v>○</v>
      </c>
    </row>
    <row r="63" spans="1:23" ht="36" customHeight="1">
      <c r="B63" s="49">
        <v>10</v>
      </c>
      <c r="C63" s="907" t="str">
        <f t="shared" si="3"/>
        <v/>
      </c>
      <c r="D63" s="1008"/>
      <c r="E63" s="305"/>
      <c r="F63" s="305"/>
      <c r="G63" s="813"/>
      <c r="H63" s="814"/>
      <c r="I63" s="814"/>
      <c r="J63" s="306">
        <f t="shared" si="0"/>
        <v>0</v>
      </c>
      <c r="K63" s="927" t="str">
        <f t="shared" si="4"/>
        <v/>
      </c>
      <c r="L63" s="721"/>
      <c r="M63" s="816"/>
      <c r="N63" s="813"/>
      <c r="O63" s="813"/>
      <c r="P63" s="814"/>
      <c r="Q63" s="814"/>
      <c r="R63" s="306">
        <f t="shared" si="1"/>
        <v>0</v>
      </c>
      <c r="S63" s="823">
        <f t="shared" si="5"/>
        <v>5</v>
      </c>
      <c r="T63" s="823">
        <f t="shared" si="6"/>
        <v>5</v>
      </c>
      <c r="U63" s="823">
        <f t="shared" si="7"/>
        <v>5</v>
      </c>
      <c r="V63" s="823" t="str">
        <f t="shared" si="2"/>
        <v>×</v>
      </c>
      <c r="W63" s="823" t="str">
        <f t="shared" si="8"/>
        <v>○</v>
      </c>
    </row>
    <row r="64" spans="1:23" ht="36" customHeight="1">
      <c r="B64" s="49">
        <v>11</v>
      </c>
      <c r="C64" s="907" t="str">
        <f t="shared" si="3"/>
        <v/>
      </c>
      <c r="D64" s="1008"/>
      <c r="E64" s="305"/>
      <c r="F64" s="305"/>
      <c r="G64" s="813"/>
      <c r="H64" s="814"/>
      <c r="I64" s="814"/>
      <c r="J64" s="306">
        <f t="shared" si="0"/>
        <v>0</v>
      </c>
      <c r="K64" s="927" t="str">
        <f t="shared" si="4"/>
        <v/>
      </c>
      <c r="L64" s="721"/>
      <c r="M64" s="816"/>
      <c r="N64" s="813"/>
      <c r="O64" s="813"/>
      <c r="P64" s="814"/>
      <c r="Q64" s="814"/>
      <c r="R64" s="306">
        <f t="shared" si="1"/>
        <v>0</v>
      </c>
      <c r="S64" s="823">
        <f t="shared" si="5"/>
        <v>5</v>
      </c>
      <c r="T64" s="823">
        <f t="shared" si="6"/>
        <v>5</v>
      </c>
      <c r="U64" s="823">
        <f t="shared" si="7"/>
        <v>5</v>
      </c>
      <c r="V64" s="823" t="str">
        <f t="shared" si="2"/>
        <v>×</v>
      </c>
      <c r="W64" s="823" t="str">
        <f t="shared" si="8"/>
        <v>○</v>
      </c>
    </row>
    <row r="65" spans="2:23" ht="36" customHeight="1">
      <c r="B65" s="49">
        <v>12</v>
      </c>
      <c r="C65" s="907" t="str">
        <f t="shared" si="3"/>
        <v/>
      </c>
      <c r="D65" s="1008"/>
      <c r="E65" s="305"/>
      <c r="F65" s="305"/>
      <c r="G65" s="813"/>
      <c r="H65" s="814"/>
      <c r="I65" s="814"/>
      <c r="J65" s="306">
        <f t="shared" si="0"/>
        <v>0</v>
      </c>
      <c r="K65" s="927" t="str">
        <f t="shared" si="4"/>
        <v/>
      </c>
      <c r="L65" s="721"/>
      <c r="M65" s="816"/>
      <c r="N65" s="813"/>
      <c r="O65" s="813"/>
      <c r="P65" s="814"/>
      <c r="Q65" s="814"/>
      <c r="R65" s="306">
        <f t="shared" si="1"/>
        <v>0</v>
      </c>
      <c r="S65" s="823">
        <f t="shared" si="5"/>
        <v>5</v>
      </c>
      <c r="T65" s="823">
        <f t="shared" si="6"/>
        <v>5</v>
      </c>
      <c r="U65" s="823">
        <f t="shared" si="7"/>
        <v>5</v>
      </c>
      <c r="V65" s="823" t="str">
        <f t="shared" si="2"/>
        <v>×</v>
      </c>
      <c r="W65" s="823" t="str">
        <f t="shared" si="8"/>
        <v>○</v>
      </c>
    </row>
    <row r="66" spans="2:23" ht="36" customHeight="1">
      <c r="B66" s="49">
        <v>13</v>
      </c>
      <c r="C66" s="907" t="str">
        <f t="shared" si="3"/>
        <v/>
      </c>
      <c r="D66" s="1008"/>
      <c r="E66" s="305"/>
      <c r="F66" s="305"/>
      <c r="G66" s="813"/>
      <c r="H66" s="814"/>
      <c r="I66" s="814"/>
      <c r="J66" s="306">
        <f t="shared" si="0"/>
        <v>0</v>
      </c>
      <c r="K66" s="927" t="str">
        <f t="shared" si="4"/>
        <v/>
      </c>
      <c r="L66" s="721"/>
      <c r="M66" s="816"/>
      <c r="N66" s="813"/>
      <c r="O66" s="813"/>
      <c r="P66" s="814"/>
      <c r="Q66" s="814"/>
      <c r="R66" s="306">
        <f t="shared" si="1"/>
        <v>0</v>
      </c>
      <c r="S66" s="823">
        <f t="shared" si="5"/>
        <v>5</v>
      </c>
      <c r="T66" s="823">
        <f t="shared" si="6"/>
        <v>5</v>
      </c>
      <c r="U66" s="823">
        <f t="shared" si="7"/>
        <v>5</v>
      </c>
      <c r="V66" s="823" t="str">
        <f t="shared" si="2"/>
        <v>×</v>
      </c>
      <c r="W66" s="823" t="str">
        <f t="shared" si="8"/>
        <v>○</v>
      </c>
    </row>
    <row r="67" spans="2:23" ht="36" customHeight="1">
      <c r="B67" s="49">
        <v>14</v>
      </c>
      <c r="C67" s="907" t="str">
        <f t="shared" si="3"/>
        <v/>
      </c>
      <c r="D67" s="1008"/>
      <c r="E67" s="305"/>
      <c r="F67" s="305"/>
      <c r="G67" s="813"/>
      <c r="H67" s="814"/>
      <c r="I67" s="814"/>
      <c r="J67" s="306">
        <f t="shared" si="0"/>
        <v>0</v>
      </c>
      <c r="K67" s="927" t="str">
        <f t="shared" si="4"/>
        <v/>
      </c>
      <c r="L67" s="721"/>
      <c r="M67" s="816"/>
      <c r="N67" s="813"/>
      <c r="O67" s="813"/>
      <c r="P67" s="814"/>
      <c r="Q67" s="814"/>
      <c r="R67" s="306">
        <f t="shared" si="1"/>
        <v>0</v>
      </c>
      <c r="S67" s="823">
        <f t="shared" si="5"/>
        <v>5</v>
      </c>
      <c r="T67" s="823">
        <f t="shared" si="6"/>
        <v>5</v>
      </c>
      <c r="U67" s="823">
        <f t="shared" si="7"/>
        <v>5</v>
      </c>
      <c r="V67" s="823" t="str">
        <f t="shared" si="2"/>
        <v>×</v>
      </c>
      <c r="W67" s="823" t="str">
        <f t="shared" si="8"/>
        <v>○</v>
      </c>
    </row>
    <row r="68" spans="2:23" ht="36" customHeight="1">
      <c r="B68" s="49">
        <v>15</v>
      </c>
      <c r="C68" s="907" t="str">
        <f t="shared" si="3"/>
        <v/>
      </c>
      <c r="D68" s="1008"/>
      <c r="E68" s="305"/>
      <c r="F68" s="305"/>
      <c r="G68" s="813"/>
      <c r="H68" s="814"/>
      <c r="I68" s="814"/>
      <c r="J68" s="306">
        <f t="shared" si="0"/>
        <v>0</v>
      </c>
      <c r="K68" s="927" t="str">
        <f t="shared" si="4"/>
        <v/>
      </c>
      <c r="L68" s="721"/>
      <c r="M68" s="816"/>
      <c r="N68" s="813"/>
      <c r="O68" s="813"/>
      <c r="P68" s="814"/>
      <c r="Q68" s="814"/>
      <c r="R68" s="306">
        <f t="shared" si="1"/>
        <v>0</v>
      </c>
      <c r="S68" s="823">
        <f t="shared" si="5"/>
        <v>5</v>
      </c>
      <c r="T68" s="823">
        <f t="shared" si="6"/>
        <v>5</v>
      </c>
      <c r="U68" s="823">
        <f t="shared" si="7"/>
        <v>5</v>
      </c>
      <c r="V68" s="823" t="str">
        <f t="shared" si="2"/>
        <v>×</v>
      </c>
      <c r="W68" s="823" t="str">
        <f t="shared" si="8"/>
        <v>○</v>
      </c>
    </row>
    <row r="69" spans="2:23" ht="36" customHeight="1">
      <c r="B69" s="49">
        <v>16</v>
      </c>
      <c r="C69" s="907" t="str">
        <f t="shared" si="3"/>
        <v/>
      </c>
      <c r="D69" s="1008"/>
      <c r="E69" s="305"/>
      <c r="F69" s="305"/>
      <c r="G69" s="813"/>
      <c r="H69" s="814"/>
      <c r="I69" s="814"/>
      <c r="J69" s="306">
        <f t="shared" si="0"/>
        <v>0</v>
      </c>
      <c r="K69" s="927" t="str">
        <f t="shared" si="4"/>
        <v/>
      </c>
      <c r="L69" s="721"/>
      <c r="M69" s="816"/>
      <c r="N69" s="813"/>
      <c r="O69" s="813"/>
      <c r="P69" s="814"/>
      <c r="Q69" s="814"/>
      <c r="R69" s="306">
        <f t="shared" si="1"/>
        <v>0</v>
      </c>
      <c r="S69" s="823">
        <f t="shared" si="5"/>
        <v>5</v>
      </c>
      <c r="T69" s="823">
        <f t="shared" si="6"/>
        <v>5</v>
      </c>
      <c r="U69" s="823">
        <f t="shared" si="7"/>
        <v>5</v>
      </c>
      <c r="V69" s="823" t="str">
        <f t="shared" si="2"/>
        <v>×</v>
      </c>
      <c r="W69" s="823" t="str">
        <f t="shared" si="8"/>
        <v>○</v>
      </c>
    </row>
    <row r="70" spans="2:23" ht="36" customHeight="1">
      <c r="B70" s="49">
        <v>17</v>
      </c>
      <c r="C70" s="907" t="str">
        <f t="shared" si="3"/>
        <v/>
      </c>
      <c r="D70" s="1008"/>
      <c r="E70" s="305"/>
      <c r="F70" s="305"/>
      <c r="G70" s="813"/>
      <c r="H70" s="814"/>
      <c r="I70" s="814"/>
      <c r="J70" s="306">
        <f t="shared" si="0"/>
        <v>0</v>
      </c>
      <c r="K70" s="927" t="str">
        <f t="shared" si="4"/>
        <v/>
      </c>
      <c r="L70" s="721"/>
      <c r="M70" s="816"/>
      <c r="N70" s="813"/>
      <c r="O70" s="813"/>
      <c r="P70" s="814"/>
      <c r="Q70" s="814"/>
      <c r="R70" s="306">
        <f t="shared" si="1"/>
        <v>0</v>
      </c>
      <c r="S70" s="823">
        <f t="shared" si="5"/>
        <v>5</v>
      </c>
      <c r="T70" s="823">
        <f t="shared" si="6"/>
        <v>5</v>
      </c>
      <c r="U70" s="823">
        <f t="shared" si="7"/>
        <v>5</v>
      </c>
      <c r="V70" s="823" t="str">
        <f t="shared" si="2"/>
        <v>×</v>
      </c>
      <c r="W70" s="823" t="str">
        <f t="shared" si="8"/>
        <v>○</v>
      </c>
    </row>
    <row r="71" spans="2:23" ht="36" customHeight="1">
      <c r="B71" s="49">
        <v>18</v>
      </c>
      <c r="C71" s="907" t="str">
        <f t="shared" si="3"/>
        <v/>
      </c>
      <c r="D71" s="1008"/>
      <c r="E71" s="305"/>
      <c r="F71" s="305"/>
      <c r="G71" s="813"/>
      <c r="H71" s="814"/>
      <c r="I71" s="814"/>
      <c r="J71" s="306">
        <f t="shared" si="0"/>
        <v>0</v>
      </c>
      <c r="K71" s="927" t="str">
        <f t="shared" si="4"/>
        <v/>
      </c>
      <c r="L71" s="721"/>
      <c r="M71" s="816"/>
      <c r="N71" s="813"/>
      <c r="O71" s="813"/>
      <c r="P71" s="814"/>
      <c r="Q71" s="814"/>
      <c r="R71" s="306">
        <f t="shared" si="1"/>
        <v>0</v>
      </c>
      <c r="S71" s="823">
        <f t="shared" si="5"/>
        <v>5</v>
      </c>
      <c r="T71" s="823">
        <f t="shared" si="6"/>
        <v>5</v>
      </c>
      <c r="U71" s="823">
        <f t="shared" si="7"/>
        <v>5</v>
      </c>
      <c r="V71" s="823" t="str">
        <f t="shared" si="2"/>
        <v>×</v>
      </c>
      <c r="W71" s="823" t="str">
        <f t="shared" si="8"/>
        <v>○</v>
      </c>
    </row>
    <row r="72" spans="2:23" ht="36" customHeight="1">
      <c r="B72" s="49">
        <v>19</v>
      </c>
      <c r="C72" s="907" t="str">
        <f t="shared" si="3"/>
        <v/>
      </c>
      <c r="D72" s="1008"/>
      <c r="E72" s="305"/>
      <c r="F72" s="305"/>
      <c r="G72" s="813"/>
      <c r="H72" s="814"/>
      <c r="I72" s="814"/>
      <c r="J72" s="306">
        <f t="shared" si="0"/>
        <v>0</v>
      </c>
      <c r="K72" s="927" t="str">
        <f t="shared" si="4"/>
        <v/>
      </c>
      <c r="L72" s="721"/>
      <c r="M72" s="816"/>
      <c r="N72" s="813"/>
      <c r="O72" s="813"/>
      <c r="P72" s="814"/>
      <c r="Q72" s="814"/>
      <c r="R72" s="306">
        <f t="shared" si="1"/>
        <v>0</v>
      </c>
      <c r="S72" s="823">
        <f t="shared" si="5"/>
        <v>5</v>
      </c>
      <c r="T72" s="823">
        <f t="shared" si="6"/>
        <v>5</v>
      </c>
      <c r="U72" s="823">
        <f t="shared" si="7"/>
        <v>5</v>
      </c>
      <c r="V72" s="823" t="str">
        <f t="shared" si="2"/>
        <v>×</v>
      </c>
      <c r="W72" s="823" t="str">
        <f t="shared" si="8"/>
        <v>○</v>
      </c>
    </row>
    <row r="73" spans="2:23" ht="36" customHeight="1">
      <c r="B73" s="49">
        <v>20</v>
      </c>
      <c r="C73" s="907" t="str">
        <f t="shared" si="3"/>
        <v/>
      </c>
      <c r="D73" s="1008"/>
      <c r="E73" s="305"/>
      <c r="F73" s="305"/>
      <c r="G73" s="813"/>
      <c r="H73" s="814"/>
      <c r="I73" s="814"/>
      <c r="J73" s="306">
        <f t="shared" si="0"/>
        <v>0</v>
      </c>
      <c r="K73" s="927" t="str">
        <f t="shared" si="4"/>
        <v/>
      </c>
      <c r="L73" s="721"/>
      <c r="M73" s="816"/>
      <c r="N73" s="813"/>
      <c r="O73" s="813"/>
      <c r="P73" s="814"/>
      <c r="Q73" s="814"/>
      <c r="R73" s="306">
        <f t="shared" si="1"/>
        <v>0</v>
      </c>
      <c r="S73" s="823">
        <f t="shared" si="5"/>
        <v>5</v>
      </c>
      <c r="T73" s="823">
        <f t="shared" si="6"/>
        <v>5</v>
      </c>
      <c r="U73" s="823">
        <f t="shared" si="7"/>
        <v>5</v>
      </c>
      <c r="V73" s="823" t="str">
        <f t="shared" si="2"/>
        <v>×</v>
      </c>
      <c r="W73" s="823" t="str">
        <f t="shared" si="8"/>
        <v>○</v>
      </c>
    </row>
    <row r="74" spans="2:23" ht="36" customHeight="1">
      <c r="B74" s="49">
        <v>21</v>
      </c>
      <c r="C74" s="907" t="str">
        <f t="shared" si="3"/>
        <v/>
      </c>
      <c r="D74" s="1008"/>
      <c r="E74" s="305"/>
      <c r="F74" s="305"/>
      <c r="G74" s="813"/>
      <c r="H74" s="814"/>
      <c r="I74" s="814"/>
      <c r="J74" s="306">
        <f t="shared" si="0"/>
        <v>0</v>
      </c>
      <c r="K74" s="927" t="str">
        <f t="shared" si="4"/>
        <v/>
      </c>
      <c r="L74" s="721"/>
      <c r="M74" s="816"/>
      <c r="N74" s="813"/>
      <c r="O74" s="813"/>
      <c r="P74" s="814"/>
      <c r="Q74" s="814"/>
      <c r="R74" s="306">
        <f t="shared" si="1"/>
        <v>0</v>
      </c>
      <c r="S74" s="823">
        <f t="shared" si="5"/>
        <v>5</v>
      </c>
      <c r="T74" s="823">
        <f t="shared" si="6"/>
        <v>5</v>
      </c>
      <c r="U74" s="823">
        <f t="shared" si="7"/>
        <v>5</v>
      </c>
      <c r="V74" s="823" t="str">
        <f t="shared" si="2"/>
        <v>×</v>
      </c>
      <c r="W74" s="823" t="str">
        <f t="shared" si="8"/>
        <v>○</v>
      </c>
    </row>
    <row r="75" spans="2:23" ht="36" customHeight="1">
      <c r="B75" s="49">
        <v>22</v>
      </c>
      <c r="C75" s="907" t="str">
        <f t="shared" si="3"/>
        <v/>
      </c>
      <c r="D75" s="1008"/>
      <c r="E75" s="305"/>
      <c r="F75" s="305"/>
      <c r="G75" s="813"/>
      <c r="H75" s="814"/>
      <c r="I75" s="814"/>
      <c r="J75" s="306">
        <f t="shared" si="0"/>
        <v>0</v>
      </c>
      <c r="K75" s="927" t="str">
        <f t="shared" si="4"/>
        <v/>
      </c>
      <c r="L75" s="721"/>
      <c r="M75" s="816"/>
      <c r="N75" s="813"/>
      <c r="O75" s="813"/>
      <c r="P75" s="814"/>
      <c r="Q75" s="814"/>
      <c r="R75" s="306">
        <f t="shared" si="1"/>
        <v>0</v>
      </c>
      <c r="S75" s="823">
        <f t="shared" si="5"/>
        <v>5</v>
      </c>
      <c r="T75" s="823">
        <f t="shared" si="6"/>
        <v>5</v>
      </c>
      <c r="U75" s="823">
        <f t="shared" si="7"/>
        <v>5</v>
      </c>
      <c r="V75" s="823" t="str">
        <f t="shared" si="2"/>
        <v>×</v>
      </c>
      <c r="W75" s="823" t="str">
        <f t="shared" si="8"/>
        <v>○</v>
      </c>
    </row>
    <row r="76" spans="2:23" ht="36" customHeight="1">
      <c r="B76" s="49">
        <v>23</v>
      </c>
      <c r="C76" s="907" t="str">
        <f t="shared" si="3"/>
        <v/>
      </c>
      <c r="D76" s="1008"/>
      <c r="E76" s="305"/>
      <c r="F76" s="305"/>
      <c r="G76" s="813"/>
      <c r="H76" s="814"/>
      <c r="I76" s="814"/>
      <c r="J76" s="306">
        <f t="shared" si="0"/>
        <v>0</v>
      </c>
      <c r="K76" s="927" t="str">
        <f t="shared" si="4"/>
        <v/>
      </c>
      <c r="L76" s="721"/>
      <c r="M76" s="816"/>
      <c r="N76" s="813"/>
      <c r="O76" s="813"/>
      <c r="P76" s="814"/>
      <c r="Q76" s="814"/>
      <c r="R76" s="306">
        <f t="shared" si="1"/>
        <v>0</v>
      </c>
      <c r="S76" s="823">
        <f t="shared" si="5"/>
        <v>5</v>
      </c>
      <c r="T76" s="823">
        <f t="shared" si="6"/>
        <v>5</v>
      </c>
      <c r="U76" s="823">
        <f t="shared" si="7"/>
        <v>5</v>
      </c>
      <c r="V76" s="823" t="str">
        <f t="shared" si="2"/>
        <v>×</v>
      </c>
      <c r="W76" s="823" t="str">
        <f t="shared" si="8"/>
        <v>○</v>
      </c>
    </row>
    <row r="77" spans="2:23" ht="36" customHeight="1">
      <c r="B77" s="49">
        <v>24</v>
      </c>
      <c r="C77" s="907" t="str">
        <f t="shared" si="3"/>
        <v/>
      </c>
      <c r="D77" s="1008"/>
      <c r="E77" s="305"/>
      <c r="F77" s="305"/>
      <c r="G77" s="813"/>
      <c r="H77" s="814"/>
      <c r="I77" s="814"/>
      <c r="J77" s="306">
        <f t="shared" si="0"/>
        <v>0</v>
      </c>
      <c r="K77" s="927" t="str">
        <f t="shared" si="4"/>
        <v/>
      </c>
      <c r="L77" s="721"/>
      <c r="M77" s="816"/>
      <c r="N77" s="813"/>
      <c r="O77" s="813"/>
      <c r="P77" s="814"/>
      <c r="Q77" s="814"/>
      <c r="R77" s="306">
        <f t="shared" si="1"/>
        <v>0</v>
      </c>
      <c r="S77" s="823">
        <f t="shared" si="5"/>
        <v>5</v>
      </c>
      <c r="T77" s="823">
        <f t="shared" si="6"/>
        <v>5</v>
      </c>
      <c r="U77" s="823">
        <f t="shared" si="7"/>
        <v>5</v>
      </c>
      <c r="V77" s="823" t="str">
        <f t="shared" si="2"/>
        <v>×</v>
      </c>
      <c r="W77" s="823" t="str">
        <f t="shared" si="8"/>
        <v>○</v>
      </c>
    </row>
    <row r="78" spans="2:23" ht="36" customHeight="1">
      <c r="B78" s="49">
        <v>25</v>
      </c>
      <c r="C78" s="907" t="str">
        <f t="shared" si="3"/>
        <v/>
      </c>
      <c r="D78" s="1008"/>
      <c r="E78" s="305"/>
      <c r="F78" s="305"/>
      <c r="G78" s="813"/>
      <c r="H78" s="814"/>
      <c r="I78" s="814"/>
      <c r="J78" s="306">
        <f t="shared" si="0"/>
        <v>0</v>
      </c>
      <c r="K78" s="927" t="str">
        <f t="shared" si="4"/>
        <v/>
      </c>
      <c r="L78" s="721"/>
      <c r="M78" s="816"/>
      <c r="N78" s="813"/>
      <c r="O78" s="813"/>
      <c r="P78" s="814"/>
      <c r="Q78" s="814"/>
      <c r="R78" s="306">
        <f t="shared" si="1"/>
        <v>0</v>
      </c>
      <c r="S78" s="823">
        <f t="shared" si="5"/>
        <v>5</v>
      </c>
      <c r="T78" s="823">
        <f t="shared" si="6"/>
        <v>5</v>
      </c>
      <c r="U78" s="823">
        <f t="shared" si="7"/>
        <v>5</v>
      </c>
      <c r="V78" s="823" t="str">
        <f t="shared" si="2"/>
        <v>×</v>
      </c>
      <c r="W78" s="823" t="str">
        <f t="shared" si="8"/>
        <v>○</v>
      </c>
    </row>
    <row r="79" spans="2:23" ht="36" customHeight="1">
      <c r="B79" s="49">
        <v>26</v>
      </c>
      <c r="C79" s="907" t="str">
        <f t="shared" si="3"/>
        <v/>
      </c>
      <c r="D79" s="1008"/>
      <c r="E79" s="305"/>
      <c r="F79" s="305"/>
      <c r="G79" s="813"/>
      <c r="H79" s="814"/>
      <c r="I79" s="814"/>
      <c r="J79" s="306">
        <f t="shared" si="0"/>
        <v>0</v>
      </c>
      <c r="K79" s="927" t="str">
        <f t="shared" si="4"/>
        <v/>
      </c>
      <c r="L79" s="721"/>
      <c r="M79" s="816"/>
      <c r="N79" s="813"/>
      <c r="O79" s="813"/>
      <c r="P79" s="814"/>
      <c r="Q79" s="814"/>
      <c r="R79" s="306">
        <f t="shared" si="1"/>
        <v>0</v>
      </c>
      <c r="S79" s="823">
        <f t="shared" si="5"/>
        <v>5</v>
      </c>
      <c r="T79" s="823">
        <f t="shared" si="6"/>
        <v>5</v>
      </c>
      <c r="U79" s="823">
        <f t="shared" si="7"/>
        <v>5</v>
      </c>
      <c r="V79" s="823" t="str">
        <f t="shared" si="2"/>
        <v>×</v>
      </c>
      <c r="W79" s="823" t="str">
        <f t="shared" si="8"/>
        <v>○</v>
      </c>
    </row>
    <row r="80" spans="2:23" ht="36" customHeight="1">
      <c r="B80" s="49">
        <v>27</v>
      </c>
      <c r="C80" s="907" t="str">
        <f t="shared" si="3"/>
        <v/>
      </c>
      <c r="D80" s="1008"/>
      <c r="E80" s="305"/>
      <c r="F80" s="305"/>
      <c r="G80" s="813"/>
      <c r="H80" s="814"/>
      <c r="I80" s="814"/>
      <c r="J80" s="306">
        <f t="shared" si="0"/>
        <v>0</v>
      </c>
      <c r="K80" s="927" t="str">
        <f t="shared" si="4"/>
        <v/>
      </c>
      <c r="L80" s="721"/>
      <c r="M80" s="816"/>
      <c r="N80" s="813"/>
      <c r="O80" s="813"/>
      <c r="P80" s="814"/>
      <c r="Q80" s="814"/>
      <c r="R80" s="306">
        <f t="shared" si="1"/>
        <v>0</v>
      </c>
      <c r="S80" s="823">
        <f t="shared" si="5"/>
        <v>5</v>
      </c>
      <c r="T80" s="823">
        <f t="shared" si="6"/>
        <v>5</v>
      </c>
      <c r="U80" s="823">
        <f t="shared" si="7"/>
        <v>5</v>
      </c>
      <c r="V80" s="823" t="str">
        <f t="shared" si="2"/>
        <v>×</v>
      </c>
      <c r="W80" s="823" t="str">
        <f t="shared" si="8"/>
        <v>○</v>
      </c>
    </row>
    <row r="81" spans="2:23" ht="36" customHeight="1">
      <c r="B81" s="49">
        <v>28</v>
      </c>
      <c r="C81" s="907" t="str">
        <f t="shared" si="3"/>
        <v/>
      </c>
      <c r="D81" s="1008"/>
      <c r="E81" s="305"/>
      <c r="F81" s="305"/>
      <c r="G81" s="813"/>
      <c r="H81" s="814"/>
      <c r="I81" s="814"/>
      <c r="J81" s="306">
        <f t="shared" si="0"/>
        <v>0</v>
      </c>
      <c r="K81" s="927" t="str">
        <f t="shared" si="4"/>
        <v/>
      </c>
      <c r="L81" s="721"/>
      <c r="M81" s="816"/>
      <c r="N81" s="813"/>
      <c r="O81" s="813"/>
      <c r="P81" s="814"/>
      <c r="Q81" s="814"/>
      <c r="R81" s="306">
        <f t="shared" si="1"/>
        <v>0</v>
      </c>
      <c r="S81" s="823">
        <f t="shared" si="5"/>
        <v>5</v>
      </c>
      <c r="T81" s="823">
        <f t="shared" si="6"/>
        <v>5</v>
      </c>
      <c r="U81" s="823">
        <f t="shared" si="7"/>
        <v>5</v>
      </c>
      <c r="V81" s="823" t="str">
        <f t="shared" si="2"/>
        <v>×</v>
      </c>
      <c r="W81" s="823" t="str">
        <f t="shared" si="8"/>
        <v>○</v>
      </c>
    </row>
    <row r="82" spans="2:23" ht="36" customHeight="1">
      <c r="B82" s="49">
        <v>29</v>
      </c>
      <c r="C82" s="907" t="str">
        <f t="shared" si="3"/>
        <v/>
      </c>
      <c r="D82" s="1008"/>
      <c r="E82" s="305"/>
      <c r="F82" s="305"/>
      <c r="G82" s="813"/>
      <c r="H82" s="814"/>
      <c r="I82" s="814"/>
      <c r="J82" s="306">
        <f t="shared" si="0"/>
        <v>0</v>
      </c>
      <c r="K82" s="927" t="str">
        <f t="shared" si="4"/>
        <v/>
      </c>
      <c r="L82" s="721"/>
      <c r="M82" s="816"/>
      <c r="N82" s="813"/>
      <c r="O82" s="813"/>
      <c r="P82" s="814"/>
      <c r="Q82" s="814"/>
      <c r="R82" s="306">
        <f t="shared" si="1"/>
        <v>0</v>
      </c>
      <c r="S82" s="823">
        <f t="shared" si="5"/>
        <v>5</v>
      </c>
      <c r="T82" s="823">
        <f t="shared" si="6"/>
        <v>5</v>
      </c>
      <c r="U82" s="823">
        <f t="shared" si="7"/>
        <v>5</v>
      </c>
      <c r="V82" s="823" t="str">
        <f t="shared" si="2"/>
        <v>×</v>
      </c>
      <c r="W82" s="823" t="str">
        <f t="shared" si="8"/>
        <v>○</v>
      </c>
    </row>
    <row r="83" spans="2:23" ht="36" customHeight="1">
      <c r="B83" s="49">
        <v>30</v>
      </c>
      <c r="C83" s="907" t="str">
        <f t="shared" si="3"/>
        <v/>
      </c>
      <c r="D83" s="1008"/>
      <c r="E83" s="305"/>
      <c r="F83" s="305"/>
      <c r="G83" s="813"/>
      <c r="H83" s="814"/>
      <c r="I83" s="814"/>
      <c r="J83" s="306">
        <f t="shared" si="0"/>
        <v>0</v>
      </c>
      <c r="K83" s="927" t="str">
        <f t="shared" si="4"/>
        <v/>
      </c>
      <c r="L83" s="721"/>
      <c r="M83" s="816"/>
      <c r="N83" s="813"/>
      <c r="O83" s="813"/>
      <c r="P83" s="814"/>
      <c r="Q83" s="814"/>
      <c r="R83" s="306">
        <f t="shared" si="1"/>
        <v>0</v>
      </c>
      <c r="S83" s="823">
        <f t="shared" si="5"/>
        <v>5</v>
      </c>
      <c r="T83" s="823">
        <f t="shared" si="6"/>
        <v>5</v>
      </c>
      <c r="U83" s="823">
        <f t="shared" si="7"/>
        <v>5</v>
      </c>
      <c r="V83" s="823" t="str">
        <f t="shared" si="2"/>
        <v>×</v>
      </c>
      <c r="W83" s="823" t="str">
        <f t="shared" si="8"/>
        <v>○</v>
      </c>
    </row>
    <row r="84" spans="2:23" ht="36" customHeight="1">
      <c r="B84" s="49">
        <v>31</v>
      </c>
      <c r="C84" s="907" t="str">
        <f t="shared" si="3"/>
        <v/>
      </c>
      <c r="D84" s="1008"/>
      <c r="E84" s="305"/>
      <c r="F84" s="305"/>
      <c r="G84" s="813"/>
      <c r="H84" s="814"/>
      <c r="I84" s="814"/>
      <c r="J84" s="306">
        <f t="shared" si="0"/>
        <v>0</v>
      </c>
      <c r="K84" s="927" t="str">
        <f t="shared" si="4"/>
        <v/>
      </c>
      <c r="L84" s="721"/>
      <c r="M84" s="816"/>
      <c r="N84" s="813"/>
      <c r="O84" s="813"/>
      <c r="P84" s="814"/>
      <c r="Q84" s="814"/>
      <c r="R84" s="306">
        <f t="shared" si="1"/>
        <v>0</v>
      </c>
      <c r="S84" s="823">
        <f t="shared" si="5"/>
        <v>5</v>
      </c>
      <c r="T84" s="823">
        <f t="shared" si="6"/>
        <v>5</v>
      </c>
      <c r="U84" s="823">
        <f t="shared" si="7"/>
        <v>5</v>
      </c>
      <c r="V84" s="823" t="str">
        <f t="shared" si="2"/>
        <v>×</v>
      </c>
      <c r="W84" s="823" t="str">
        <f t="shared" si="8"/>
        <v>○</v>
      </c>
    </row>
    <row r="85" spans="2:23" ht="36" customHeight="1">
      <c r="B85" s="49">
        <v>32</v>
      </c>
      <c r="C85" s="907" t="str">
        <f t="shared" si="3"/>
        <v/>
      </c>
      <c r="D85" s="1008"/>
      <c r="E85" s="305"/>
      <c r="F85" s="305"/>
      <c r="G85" s="813"/>
      <c r="H85" s="814"/>
      <c r="I85" s="814"/>
      <c r="J85" s="306">
        <f t="shared" si="0"/>
        <v>0</v>
      </c>
      <c r="K85" s="927" t="str">
        <f t="shared" si="4"/>
        <v/>
      </c>
      <c r="L85" s="721"/>
      <c r="M85" s="816"/>
      <c r="N85" s="813"/>
      <c r="O85" s="813"/>
      <c r="P85" s="814"/>
      <c r="Q85" s="814"/>
      <c r="R85" s="306">
        <f t="shared" si="1"/>
        <v>0</v>
      </c>
      <c r="S85" s="823">
        <f t="shared" si="5"/>
        <v>5</v>
      </c>
      <c r="T85" s="823">
        <f t="shared" si="6"/>
        <v>5</v>
      </c>
      <c r="U85" s="823">
        <f t="shared" si="7"/>
        <v>5</v>
      </c>
      <c r="V85" s="823" t="str">
        <f t="shared" si="2"/>
        <v>×</v>
      </c>
      <c r="W85" s="823" t="str">
        <f t="shared" si="8"/>
        <v>○</v>
      </c>
    </row>
    <row r="86" spans="2:23" ht="36" customHeight="1">
      <c r="B86" s="49">
        <v>33</v>
      </c>
      <c r="C86" s="907" t="str">
        <f t="shared" si="3"/>
        <v/>
      </c>
      <c r="D86" s="1008"/>
      <c r="E86" s="305"/>
      <c r="F86" s="305"/>
      <c r="G86" s="813"/>
      <c r="H86" s="814"/>
      <c r="I86" s="814"/>
      <c r="J86" s="306">
        <f t="shared" si="0"/>
        <v>0</v>
      </c>
      <c r="K86" s="927" t="str">
        <f t="shared" si="4"/>
        <v/>
      </c>
      <c r="L86" s="721"/>
      <c r="M86" s="816"/>
      <c r="N86" s="813"/>
      <c r="O86" s="813"/>
      <c r="P86" s="814"/>
      <c r="Q86" s="814"/>
      <c r="R86" s="306">
        <f t="shared" ref="R86:R103" si="9">ROUND(P86*Q86/1000,0)</f>
        <v>0</v>
      </c>
      <c r="S86" s="823">
        <f t="shared" si="5"/>
        <v>5</v>
      </c>
      <c r="T86" s="823">
        <f t="shared" si="6"/>
        <v>5</v>
      </c>
      <c r="U86" s="823">
        <f t="shared" si="7"/>
        <v>5</v>
      </c>
      <c r="V86" s="823" t="str">
        <f t="shared" ref="V86:V103" si="10">IF(OR(D86=$D$40,D86=$D$41),"○","×")</f>
        <v>×</v>
      </c>
      <c r="W86" s="823" t="str">
        <f t="shared" si="8"/>
        <v>○</v>
      </c>
    </row>
    <row r="87" spans="2:23" ht="36" customHeight="1">
      <c r="B87" s="49">
        <v>34</v>
      </c>
      <c r="C87" s="907" t="str">
        <f t="shared" si="3"/>
        <v/>
      </c>
      <c r="D87" s="1008"/>
      <c r="E87" s="305"/>
      <c r="F87" s="305"/>
      <c r="G87" s="813"/>
      <c r="H87" s="814"/>
      <c r="I87" s="814"/>
      <c r="J87" s="306">
        <f t="shared" si="0"/>
        <v>0</v>
      </c>
      <c r="K87" s="927" t="str">
        <f t="shared" si="4"/>
        <v/>
      </c>
      <c r="L87" s="721"/>
      <c r="M87" s="816"/>
      <c r="N87" s="813"/>
      <c r="O87" s="813"/>
      <c r="P87" s="814"/>
      <c r="Q87" s="814"/>
      <c r="R87" s="306">
        <f t="shared" si="9"/>
        <v>0</v>
      </c>
      <c r="S87" s="823">
        <f t="shared" si="5"/>
        <v>5</v>
      </c>
      <c r="T87" s="823">
        <f t="shared" si="6"/>
        <v>5</v>
      </c>
      <c r="U87" s="823">
        <f t="shared" si="7"/>
        <v>5</v>
      </c>
      <c r="V87" s="823" t="str">
        <f t="shared" si="10"/>
        <v>×</v>
      </c>
      <c r="W87" s="823" t="str">
        <f t="shared" si="8"/>
        <v>○</v>
      </c>
    </row>
    <row r="88" spans="2:23" ht="36" customHeight="1">
      <c r="B88" s="49">
        <v>35</v>
      </c>
      <c r="C88" s="907" t="str">
        <f t="shared" si="3"/>
        <v/>
      </c>
      <c r="D88" s="1008"/>
      <c r="E88" s="305"/>
      <c r="F88" s="305"/>
      <c r="G88" s="813"/>
      <c r="H88" s="814"/>
      <c r="I88" s="814"/>
      <c r="J88" s="306">
        <f t="shared" si="0"/>
        <v>0</v>
      </c>
      <c r="K88" s="927" t="str">
        <f t="shared" si="4"/>
        <v/>
      </c>
      <c r="L88" s="721"/>
      <c r="M88" s="816"/>
      <c r="N88" s="813"/>
      <c r="O88" s="813"/>
      <c r="P88" s="814"/>
      <c r="Q88" s="814"/>
      <c r="R88" s="306">
        <f t="shared" si="9"/>
        <v>0</v>
      </c>
      <c r="S88" s="823">
        <f t="shared" si="5"/>
        <v>5</v>
      </c>
      <c r="T88" s="823">
        <f t="shared" si="6"/>
        <v>5</v>
      </c>
      <c r="U88" s="823">
        <f t="shared" si="7"/>
        <v>5</v>
      </c>
      <c r="V88" s="823" t="str">
        <f t="shared" si="10"/>
        <v>×</v>
      </c>
      <c r="W88" s="823" t="str">
        <f t="shared" si="8"/>
        <v>○</v>
      </c>
    </row>
    <row r="89" spans="2:23" ht="36" customHeight="1">
      <c r="B89" s="49">
        <v>36</v>
      </c>
      <c r="C89" s="907" t="str">
        <f t="shared" si="3"/>
        <v/>
      </c>
      <c r="D89" s="1008"/>
      <c r="E89" s="305"/>
      <c r="F89" s="305"/>
      <c r="G89" s="813"/>
      <c r="H89" s="814"/>
      <c r="I89" s="814"/>
      <c r="J89" s="306">
        <f t="shared" si="0"/>
        <v>0</v>
      </c>
      <c r="K89" s="927" t="str">
        <f t="shared" si="4"/>
        <v/>
      </c>
      <c r="L89" s="721"/>
      <c r="M89" s="816"/>
      <c r="N89" s="813"/>
      <c r="O89" s="813"/>
      <c r="P89" s="814"/>
      <c r="Q89" s="814"/>
      <c r="R89" s="306">
        <f t="shared" si="9"/>
        <v>0</v>
      </c>
      <c r="S89" s="823">
        <f t="shared" si="5"/>
        <v>5</v>
      </c>
      <c r="T89" s="823">
        <f t="shared" si="6"/>
        <v>5</v>
      </c>
      <c r="U89" s="823">
        <f t="shared" si="7"/>
        <v>5</v>
      </c>
      <c r="V89" s="823" t="str">
        <f t="shared" si="10"/>
        <v>×</v>
      </c>
      <c r="W89" s="823" t="str">
        <f t="shared" si="8"/>
        <v>○</v>
      </c>
    </row>
    <row r="90" spans="2:23" ht="36" customHeight="1">
      <c r="B90" s="49">
        <v>37</v>
      </c>
      <c r="C90" s="907" t="str">
        <f t="shared" si="3"/>
        <v/>
      </c>
      <c r="D90" s="1008"/>
      <c r="E90" s="305"/>
      <c r="F90" s="305"/>
      <c r="G90" s="813"/>
      <c r="H90" s="814"/>
      <c r="I90" s="814"/>
      <c r="J90" s="306">
        <f t="shared" si="0"/>
        <v>0</v>
      </c>
      <c r="K90" s="927" t="str">
        <f t="shared" si="4"/>
        <v/>
      </c>
      <c r="L90" s="721"/>
      <c r="M90" s="816"/>
      <c r="N90" s="813"/>
      <c r="O90" s="813"/>
      <c r="P90" s="814"/>
      <c r="Q90" s="814"/>
      <c r="R90" s="306">
        <f t="shared" si="9"/>
        <v>0</v>
      </c>
      <c r="S90" s="823">
        <f t="shared" si="5"/>
        <v>5</v>
      </c>
      <c r="T90" s="823">
        <f t="shared" si="6"/>
        <v>5</v>
      </c>
      <c r="U90" s="823">
        <f t="shared" si="7"/>
        <v>5</v>
      </c>
      <c r="V90" s="823" t="str">
        <f t="shared" si="10"/>
        <v>×</v>
      </c>
      <c r="W90" s="823" t="str">
        <f t="shared" si="8"/>
        <v>○</v>
      </c>
    </row>
    <row r="91" spans="2:23" ht="36" customHeight="1">
      <c r="B91" s="49">
        <v>38</v>
      </c>
      <c r="C91" s="907" t="str">
        <f t="shared" si="3"/>
        <v/>
      </c>
      <c r="D91" s="1008"/>
      <c r="E91" s="305"/>
      <c r="F91" s="305"/>
      <c r="G91" s="813"/>
      <c r="H91" s="814"/>
      <c r="I91" s="814"/>
      <c r="J91" s="306">
        <f t="shared" si="0"/>
        <v>0</v>
      </c>
      <c r="K91" s="927" t="str">
        <f t="shared" si="4"/>
        <v/>
      </c>
      <c r="L91" s="721"/>
      <c r="M91" s="816"/>
      <c r="N91" s="813"/>
      <c r="O91" s="813"/>
      <c r="P91" s="814"/>
      <c r="Q91" s="814"/>
      <c r="R91" s="306">
        <f t="shared" si="9"/>
        <v>0</v>
      </c>
      <c r="S91" s="823">
        <f t="shared" si="5"/>
        <v>5</v>
      </c>
      <c r="T91" s="823">
        <f t="shared" si="6"/>
        <v>5</v>
      </c>
      <c r="U91" s="823">
        <f t="shared" si="7"/>
        <v>5</v>
      </c>
      <c r="V91" s="823" t="str">
        <f t="shared" si="10"/>
        <v>×</v>
      </c>
      <c r="W91" s="823" t="str">
        <f t="shared" si="8"/>
        <v>○</v>
      </c>
    </row>
    <row r="92" spans="2:23" ht="36" customHeight="1">
      <c r="B92" s="49">
        <v>39</v>
      </c>
      <c r="C92" s="907" t="str">
        <f t="shared" si="3"/>
        <v/>
      </c>
      <c r="D92" s="1008"/>
      <c r="E92" s="305"/>
      <c r="F92" s="305"/>
      <c r="G92" s="813"/>
      <c r="H92" s="814"/>
      <c r="I92" s="814"/>
      <c r="J92" s="306">
        <f t="shared" si="0"/>
        <v>0</v>
      </c>
      <c r="K92" s="927" t="str">
        <f t="shared" si="4"/>
        <v/>
      </c>
      <c r="L92" s="721"/>
      <c r="M92" s="816"/>
      <c r="N92" s="813"/>
      <c r="O92" s="813"/>
      <c r="P92" s="814"/>
      <c r="Q92" s="814"/>
      <c r="R92" s="306">
        <f t="shared" si="9"/>
        <v>0</v>
      </c>
      <c r="S92" s="823">
        <f t="shared" si="5"/>
        <v>5</v>
      </c>
      <c r="T92" s="823">
        <f t="shared" si="6"/>
        <v>5</v>
      </c>
      <c r="U92" s="823">
        <f t="shared" si="7"/>
        <v>5</v>
      </c>
      <c r="V92" s="823" t="str">
        <f t="shared" si="10"/>
        <v>×</v>
      </c>
      <c r="W92" s="823" t="str">
        <f t="shared" si="8"/>
        <v>○</v>
      </c>
    </row>
    <row r="93" spans="2:23" ht="36" customHeight="1">
      <c r="B93" s="49">
        <v>40</v>
      </c>
      <c r="C93" s="907" t="str">
        <f t="shared" si="3"/>
        <v/>
      </c>
      <c r="D93" s="1008"/>
      <c r="E93" s="305"/>
      <c r="F93" s="305"/>
      <c r="G93" s="813"/>
      <c r="H93" s="814"/>
      <c r="I93" s="814"/>
      <c r="J93" s="306">
        <f t="shared" si="0"/>
        <v>0</v>
      </c>
      <c r="K93" s="927" t="str">
        <f t="shared" si="4"/>
        <v/>
      </c>
      <c r="L93" s="721"/>
      <c r="M93" s="816"/>
      <c r="N93" s="813"/>
      <c r="O93" s="813"/>
      <c r="P93" s="814"/>
      <c r="Q93" s="814"/>
      <c r="R93" s="306">
        <f t="shared" si="9"/>
        <v>0</v>
      </c>
      <c r="S93" s="823">
        <f t="shared" si="5"/>
        <v>5</v>
      </c>
      <c r="T93" s="823">
        <f t="shared" si="6"/>
        <v>5</v>
      </c>
      <c r="U93" s="823">
        <f t="shared" si="7"/>
        <v>5</v>
      </c>
      <c r="V93" s="823" t="str">
        <f t="shared" si="10"/>
        <v>×</v>
      </c>
      <c r="W93" s="823" t="str">
        <f t="shared" si="8"/>
        <v>○</v>
      </c>
    </row>
    <row r="94" spans="2:23" ht="36" customHeight="1">
      <c r="B94" s="49">
        <v>41</v>
      </c>
      <c r="C94" s="907" t="str">
        <f t="shared" si="3"/>
        <v/>
      </c>
      <c r="D94" s="1008"/>
      <c r="E94" s="305"/>
      <c r="F94" s="305"/>
      <c r="G94" s="813"/>
      <c r="H94" s="814"/>
      <c r="I94" s="814"/>
      <c r="J94" s="306">
        <f t="shared" si="0"/>
        <v>0</v>
      </c>
      <c r="K94" s="927" t="str">
        <f t="shared" si="4"/>
        <v/>
      </c>
      <c r="L94" s="721"/>
      <c r="M94" s="816"/>
      <c r="N94" s="813"/>
      <c r="O94" s="813"/>
      <c r="P94" s="814"/>
      <c r="Q94" s="814"/>
      <c r="R94" s="306">
        <f t="shared" si="9"/>
        <v>0</v>
      </c>
      <c r="S94" s="823">
        <f t="shared" si="5"/>
        <v>5</v>
      </c>
      <c r="T94" s="823">
        <f t="shared" si="6"/>
        <v>5</v>
      </c>
      <c r="U94" s="823">
        <f t="shared" si="7"/>
        <v>5</v>
      </c>
      <c r="V94" s="823" t="str">
        <f t="shared" si="10"/>
        <v>×</v>
      </c>
      <c r="W94" s="823" t="str">
        <f t="shared" si="8"/>
        <v>○</v>
      </c>
    </row>
    <row r="95" spans="2:23" ht="36" customHeight="1">
      <c r="B95" s="49">
        <v>42</v>
      </c>
      <c r="C95" s="907" t="str">
        <f t="shared" si="3"/>
        <v/>
      </c>
      <c r="D95" s="1008"/>
      <c r="E95" s="305"/>
      <c r="F95" s="305"/>
      <c r="G95" s="813"/>
      <c r="H95" s="814"/>
      <c r="I95" s="814"/>
      <c r="J95" s="306">
        <f t="shared" si="0"/>
        <v>0</v>
      </c>
      <c r="K95" s="927" t="str">
        <f t="shared" si="4"/>
        <v/>
      </c>
      <c r="L95" s="721"/>
      <c r="M95" s="816"/>
      <c r="N95" s="813"/>
      <c r="O95" s="813"/>
      <c r="P95" s="814"/>
      <c r="Q95" s="814"/>
      <c r="R95" s="306">
        <f t="shared" si="9"/>
        <v>0</v>
      </c>
      <c r="S95" s="823">
        <f t="shared" si="5"/>
        <v>5</v>
      </c>
      <c r="T95" s="823">
        <f t="shared" si="6"/>
        <v>5</v>
      </c>
      <c r="U95" s="823">
        <f t="shared" si="7"/>
        <v>5</v>
      </c>
      <c r="V95" s="823" t="str">
        <f t="shared" si="10"/>
        <v>×</v>
      </c>
      <c r="W95" s="823" t="str">
        <f t="shared" si="8"/>
        <v>○</v>
      </c>
    </row>
    <row r="96" spans="2:23" ht="36" customHeight="1">
      <c r="B96" s="49">
        <v>43</v>
      </c>
      <c r="C96" s="907" t="str">
        <f t="shared" si="3"/>
        <v/>
      </c>
      <c r="D96" s="1008"/>
      <c r="E96" s="305"/>
      <c r="F96" s="305"/>
      <c r="G96" s="813"/>
      <c r="H96" s="814"/>
      <c r="I96" s="814"/>
      <c r="J96" s="306">
        <f t="shared" si="0"/>
        <v>0</v>
      </c>
      <c r="K96" s="927" t="str">
        <f t="shared" si="4"/>
        <v/>
      </c>
      <c r="L96" s="721"/>
      <c r="M96" s="816"/>
      <c r="N96" s="813"/>
      <c r="O96" s="813"/>
      <c r="P96" s="814"/>
      <c r="Q96" s="814"/>
      <c r="R96" s="306">
        <f t="shared" si="9"/>
        <v>0</v>
      </c>
      <c r="S96" s="823">
        <f t="shared" si="5"/>
        <v>5</v>
      </c>
      <c r="T96" s="823">
        <f t="shared" si="6"/>
        <v>5</v>
      </c>
      <c r="U96" s="823">
        <f t="shared" si="7"/>
        <v>5</v>
      </c>
      <c r="V96" s="823" t="str">
        <f t="shared" si="10"/>
        <v>×</v>
      </c>
      <c r="W96" s="823" t="str">
        <f t="shared" si="8"/>
        <v>○</v>
      </c>
    </row>
    <row r="97" spans="2:23" ht="36" customHeight="1">
      <c r="B97" s="49">
        <v>44</v>
      </c>
      <c r="C97" s="907" t="str">
        <f t="shared" si="3"/>
        <v/>
      </c>
      <c r="D97" s="1008"/>
      <c r="E97" s="305"/>
      <c r="F97" s="305"/>
      <c r="G97" s="813"/>
      <c r="H97" s="814"/>
      <c r="I97" s="814"/>
      <c r="J97" s="306">
        <f t="shared" si="0"/>
        <v>0</v>
      </c>
      <c r="K97" s="927" t="str">
        <f t="shared" si="4"/>
        <v/>
      </c>
      <c r="L97" s="721"/>
      <c r="M97" s="816"/>
      <c r="N97" s="813"/>
      <c r="O97" s="813"/>
      <c r="P97" s="814"/>
      <c r="Q97" s="814"/>
      <c r="R97" s="306">
        <f t="shared" si="9"/>
        <v>0</v>
      </c>
      <c r="S97" s="823">
        <f t="shared" si="5"/>
        <v>5</v>
      </c>
      <c r="T97" s="823">
        <f t="shared" si="6"/>
        <v>5</v>
      </c>
      <c r="U97" s="823">
        <f t="shared" si="7"/>
        <v>5</v>
      </c>
      <c r="V97" s="823" t="str">
        <f t="shared" si="10"/>
        <v>×</v>
      </c>
      <c r="W97" s="823" t="str">
        <f t="shared" si="8"/>
        <v>○</v>
      </c>
    </row>
    <row r="98" spans="2:23" ht="36" customHeight="1">
      <c r="B98" s="49">
        <v>45</v>
      </c>
      <c r="C98" s="907" t="str">
        <f t="shared" si="3"/>
        <v/>
      </c>
      <c r="D98" s="1008"/>
      <c r="E98" s="305"/>
      <c r="F98" s="305"/>
      <c r="G98" s="813"/>
      <c r="H98" s="814"/>
      <c r="I98" s="814"/>
      <c r="J98" s="306">
        <f t="shared" si="0"/>
        <v>0</v>
      </c>
      <c r="K98" s="927" t="str">
        <f t="shared" si="4"/>
        <v/>
      </c>
      <c r="L98" s="721"/>
      <c r="M98" s="816"/>
      <c r="N98" s="813"/>
      <c r="O98" s="813"/>
      <c r="P98" s="814"/>
      <c r="Q98" s="814"/>
      <c r="R98" s="306">
        <f t="shared" si="9"/>
        <v>0</v>
      </c>
      <c r="S98" s="823">
        <f t="shared" si="5"/>
        <v>5</v>
      </c>
      <c r="T98" s="823">
        <f t="shared" si="6"/>
        <v>5</v>
      </c>
      <c r="U98" s="823">
        <f t="shared" si="7"/>
        <v>5</v>
      </c>
      <c r="V98" s="823" t="str">
        <f t="shared" si="10"/>
        <v>×</v>
      </c>
      <c r="W98" s="823" t="str">
        <f t="shared" si="8"/>
        <v>○</v>
      </c>
    </row>
    <row r="99" spans="2:23" ht="36" customHeight="1">
      <c r="B99" s="49">
        <v>46</v>
      </c>
      <c r="C99" s="907" t="str">
        <f t="shared" si="3"/>
        <v/>
      </c>
      <c r="D99" s="1008"/>
      <c r="E99" s="305"/>
      <c r="F99" s="305"/>
      <c r="G99" s="813"/>
      <c r="H99" s="814"/>
      <c r="I99" s="814"/>
      <c r="J99" s="306">
        <f t="shared" si="0"/>
        <v>0</v>
      </c>
      <c r="K99" s="927" t="str">
        <f t="shared" si="4"/>
        <v/>
      </c>
      <c r="L99" s="721"/>
      <c r="M99" s="816"/>
      <c r="N99" s="813"/>
      <c r="O99" s="813"/>
      <c r="P99" s="814"/>
      <c r="Q99" s="814"/>
      <c r="R99" s="306">
        <f t="shared" si="9"/>
        <v>0</v>
      </c>
      <c r="S99" s="823">
        <f t="shared" si="5"/>
        <v>5</v>
      </c>
      <c r="T99" s="823">
        <f t="shared" si="6"/>
        <v>5</v>
      </c>
      <c r="U99" s="823">
        <f t="shared" si="7"/>
        <v>5</v>
      </c>
      <c r="V99" s="823" t="str">
        <f t="shared" si="10"/>
        <v>×</v>
      </c>
      <c r="W99" s="823" t="str">
        <f t="shared" si="8"/>
        <v>○</v>
      </c>
    </row>
    <row r="100" spans="2:23" ht="36" customHeight="1">
      <c r="B100" s="49">
        <v>47</v>
      </c>
      <c r="C100" s="907" t="str">
        <f t="shared" si="3"/>
        <v/>
      </c>
      <c r="D100" s="1008"/>
      <c r="E100" s="305"/>
      <c r="F100" s="305"/>
      <c r="G100" s="813"/>
      <c r="H100" s="814"/>
      <c r="I100" s="814"/>
      <c r="J100" s="306">
        <f t="shared" si="0"/>
        <v>0</v>
      </c>
      <c r="K100" s="927" t="str">
        <f t="shared" si="4"/>
        <v/>
      </c>
      <c r="L100" s="721"/>
      <c r="M100" s="816"/>
      <c r="N100" s="813"/>
      <c r="O100" s="813"/>
      <c r="P100" s="814"/>
      <c r="Q100" s="814"/>
      <c r="R100" s="306">
        <f t="shared" si="9"/>
        <v>0</v>
      </c>
      <c r="S100" s="823">
        <f t="shared" si="5"/>
        <v>5</v>
      </c>
      <c r="T100" s="823">
        <f t="shared" si="6"/>
        <v>5</v>
      </c>
      <c r="U100" s="823">
        <f t="shared" si="7"/>
        <v>5</v>
      </c>
      <c r="V100" s="823" t="str">
        <f t="shared" si="10"/>
        <v>×</v>
      </c>
      <c r="W100" s="823" t="str">
        <f t="shared" si="8"/>
        <v>○</v>
      </c>
    </row>
    <row r="101" spans="2:23" ht="36" customHeight="1">
      <c r="B101" s="49">
        <v>48</v>
      </c>
      <c r="C101" s="907" t="str">
        <f t="shared" si="3"/>
        <v/>
      </c>
      <c r="D101" s="1008"/>
      <c r="E101" s="305"/>
      <c r="F101" s="305"/>
      <c r="G101" s="813"/>
      <c r="H101" s="814"/>
      <c r="I101" s="814"/>
      <c r="J101" s="306">
        <f t="shared" si="0"/>
        <v>0</v>
      </c>
      <c r="K101" s="927" t="str">
        <f t="shared" si="4"/>
        <v/>
      </c>
      <c r="L101" s="721"/>
      <c r="M101" s="816"/>
      <c r="N101" s="813"/>
      <c r="O101" s="813"/>
      <c r="P101" s="814"/>
      <c r="Q101" s="814"/>
      <c r="R101" s="306">
        <f t="shared" si="9"/>
        <v>0</v>
      </c>
      <c r="S101" s="823">
        <f t="shared" si="5"/>
        <v>5</v>
      </c>
      <c r="T101" s="823">
        <f t="shared" si="6"/>
        <v>5</v>
      </c>
      <c r="U101" s="823">
        <f t="shared" si="7"/>
        <v>5</v>
      </c>
      <c r="V101" s="823" t="str">
        <f t="shared" si="10"/>
        <v>×</v>
      </c>
      <c r="W101" s="823" t="str">
        <f t="shared" si="8"/>
        <v>○</v>
      </c>
    </row>
    <row r="102" spans="2:23" ht="36" customHeight="1">
      <c r="B102" s="49">
        <v>49</v>
      </c>
      <c r="C102" s="907" t="str">
        <f t="shared" si="3"/>
        <v/>
      </c>
      <c r="D102" s="1008"/>
      <c r="E102" s="305"/>
      <c r="F102" s="305"/>
      <c r="G102" s="813"/>
      <c r="H102" s="814"/>
      <c r="I102" s="814"/>
      <c r="J102" s="306">
        <f t="shared" si="0"/>
        <v>0</v>
      </c>
      <c r="K102" s="927" t="str">
        <f t="shared" si="4"/>
        <v/>
      </c>
      <c r="L102" s="721"/>
      <c r="M102" s="816"/>
      <c r="N102" s="813"/>
      <c r="O102" s="813"/>
      <c r="P102" s="814"/>
      <c r="Q102" s="814"/>
      <c r="R102" s="306">
        <f t="shared" si="9"/>
        <v>0</v>
      </c>
      <c r="S102" s="823">
        <f t="shared" si="5"/>
        <v>5</v>
      </c>
      <c r="T102" s="823">
        <f t="shared" si="6"/>
        <v>5</v>
      </c>
      <c r="U102" s="823">
        <f t="shared" si="7"/>
        <v>5</v>
      </c>
      <c r="V102" s="823" t="str">
        <f t="shared" si="10"/>
        <v>×</v>
      </c>
      <c r="W102" s="823" t="str">
        <f t="shared" si="8"/>
        <v>○</v>
      </c>
    </row>
    <row r="103" spans="2:23" ht="36" customHeight="1">
      <c r="B103" s="49">
        <v>50</v>
      </c>
      <c r="C103" s="907" t="str">
        <f t="shared" si="3"/>
        <v/>
      </c>
      <c r="D103" s="1008"/>
      <c r="E103" s="305"/>
      <c r="F103" s="305"/>
      <c r="G103" s="813"/>
      <c r="H103" s="814"/>
      <c r="I103" s="814"/>
      <c r="J103" s="306">
        <f t="shared" si="0"/>
        <v>0</v>
      </c>
      <c r="K103" s="927" t="str">
        <f t="shared" si="4"/>
        <v/>
      </c>
      <c r="L103" s="721"/>
      <c r="M103" s="816"/>
      <c r="N103" s="813"/>
      <c r="O103" s="813"/>
      <c r="P103" s="814"/>
      <c r="Q103" s="814"/>
      <c r="R103" s="306">
        <f t="shared" si="9"/>
        <v>0</v>
      </c>
      <c r="S103" s="823">
        <f t="shared" si="5"/>
        <v>5</v>
      </c>
      <c r="T103" s="823">
        <f t="shared" si="6"/>
        <v>5</v>
      </c>
      <c r="U103" s="823">
        <f t="shared" si="7"/>
        <v>5</v>
      </c>
      <c r="V103" s="823" t="str">
        <f t="shared" si="10"/>
        <v>×</v>
      </c>
      <c r="W103" s="823" t="str">
        <f t="shared" si="8"/>
        <v>○</v>
      </c>
    </row>
    <row r="104" spans="2:23" ht="36.75" customHeight="1">
      <c r="C104" s="294"/>
      <c r="D104" s="17"/>
      <c r="E104" s="219"/>
      <c r="F104" s="219"/>
      <c r="G104" s="219"/>
      <c r="H104" s="904" t="s">
        <v>1079</v>
      </c>
      <c r="I104" s="295"/>
      <c r="J104" s="293">
        <f>SUM(J54:J103)</f>
        <v>0</v>
      </c>
      <c r="K104" s="902"/>
      <c r="L104" s="903"/>
      <c r="M104" s="298"/>
      <c r="N104" s="219"/>
      <c r="O104" s="219"/>
      <c r="P104" s="904" t="s">
        <v>1079</v>
      </c>
      <c r="Q104" s="295"/>
      <c r="R104" s="293">
        <f>SUM(R54:R103)</f>
        <v>0</v>
      </c>
    </row>
    <row r="105" spans="2:23" ht="36.75" customHeight="1"/>
    <row r="106" spans="2:23" ht="13.5">
      <c r="B106"/>
      <c r="C106"/>
      <c r="D106"/>
      <c r="E106"/>
      <c r="F106"/>
      <c r="G106"/>
      <c r="H106"/>
      <c r="I106"/>
      <c r="J106"/>
      <c r="K106"/>
      <c r="L106"/>
      <c r="M106"/>
      <c r="N106"/>
      <c r="O106"/>
      <c r="P106"/>
      <c r="Q106"/>
      <c r="R106"/>
      <c r="S106"/>
      <c r="T106"/>
      <c r="U106"/>
      <c r="V106"/>
      <c r="W106"/>
    </row>
    <row r="107" spans="2:23" customFormat="1" ht="9.75" customHeight="1"/>
    <row r="108" spans="2:23" customFormat="1" ht="13.5"/>
    <row r="109" spans="2:23" customFormat="1" ht="13.5"/>
    <row r="110" spans="2:23" customFormat="1" ht="13.5"/>
    <row r="111" spans="2:23" customFormat="1" ht="13.5"/>
    <row r="112" spans="2:23" customFormat="1" ht="13.5"/>
    <row r="113" customFormat="1" ht="13.5"/>
    <row r="114" customFormat="1" ht="13.5"/>
    <row r="115" customFormat="1" ht="13.5"/>
    <row r="116" customFormat="1" ht="13.5"/>
    <row r="117" customFormat="1" ht="13.5"/>
    <row r="118" customFormat="1" ht="13.5"/>
    <row r="119" customFormat="1" ht="13.5"/>
    <row r="120" customFormat="1" ht="13.5"/>
    <row r="121" customFormat="1" ht="13.5"/>
    <row r="122" customFormat="1" ht="13.5"/>
    <row r="123" customFormat="1" ht="13.5"/>
    <row r="124" customFormat="1" ht="13.5"/>
    <row r="125" customFormat="1" ht="18" customHeight="1"/>
    <row r="126" customFormat="1" ht="13.5"/>
    <row r="127" customFormat="1" ht="13.5"/>
    <row r="128" customFormat="1" ht="13.5"/>
    <row r="129" customFormat="1" ht="13.5"/>
    <row r="130" customFormat="1" ht="13.5"/>
    <row r="131" customFormat="1" ht="13.5"/>
    <row r="132" customFormat="1" ht="13.5"/>
    <row r="133" customFormat="1" ht="13.5"/>
    <row r="134" customFormat="1" ht="13.5"/>
    <row r="135" customFormat="1" ht="13.5"/>
    <row r="136" customFormat="1" ht="13.5"/>
    <row r="137" customFormat="1" ht="13.5"/>
    <row r="138" customFormat="1" ht="13.5"/>
    <row r="139" customFormat="1" ht="13.5"/>
    <row r="140" customFormat="1" ht="13.5"/>
    <row r="141" customFormat="1" ht="13.5"/>
    <row r="142" customFormat="1" ht="13.5"/>
    <row r="143" customFormat="1" ht="12" customHeight="1"/>
    <row r="144" customFormat="1" ht="12" customHeight="1"/>
    <row r="145" spans="2:23" customFormat="1" ht="12" customHeight="1"/>
    <row r="146" spans="2:23" customFormat="1" ht="12" customHeight="1"/>
    <row r="147" spans="2:23" customFormat="1" ht="12" customHeight="1"/>
    <row r="148" spans="2:23" customFormat="1" ht="12" customHeight="1">
      <c r="E148" s="49"/>
      <c r="S148" s="49"/>
      <c r="T148" s="49"/>
    </row>
    <row r="149" spans="2:23" customFormat="1" ht="12" customHeight="1"/>
    <row r="150" spans="2:23" customFormat="1" ht="12" customHeight="1"/>
    <row r="151" spans="2:23" customFormat="1" ht="12" customHeight="1">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row>
    <row r="152" spans="2:23" s="280" customFormat="1" ht="9.75" customHeight="1">
      <c r="B152" s="49"/>
      <c r="C152" s="49"/>
      <c r="D152" s="49"/>
      <c r="E152" s="49"/>
      <c r="F152" s="49"/>
      <c r="G152" s="49"/>
      <c r="H152" s="49"/>
      <c r="I152" s="49"/>
      <c r="J152" s="49"/>
      <c r="K152" s="49"/>
      <c r="L152" s="49"/>
      <c r="M152" s="49"/>
      <c r="N152" s="49"/>
      <c r="O152" s="49"/>
      <c r="P152" s="49"/>
      <c r="Q152" s="49"/>
      <c r="R152" s="49"/>
      <c r="S152" s="49"/>
      <c r="T152" s="49"/>
      <c r="U152" s="49"/>
      <c r="V152" s="49"/>
      <c r="W152" s="49"/>
    </row>
  </sheetData>
  <sheetProtection password="D8D3" sheet="1" objects="1" scenarios="1"/>
  <mergeCells count="15">
    <mergeCell ref="W52:W53"/>
    <mergeCell ref="B12:D12"/>
    <mergeCell ref="H10:M12"/>
    <mergeCell ref="E13:E14"/>
    <mergeCell ref="F13:F14"/>
    <mergeCell ref="G13:M14"/>
    <mergeCell ref="C52:J52"/>
    <mergeCell ref="K52:R52"/>
    <mergeCell ref="V52:V53"/>
    <mergeCell ref="T52:T53"/>
    <mergeCell ref="E3:H3"/>
    <mergeCell ref="B3:C3"/>
    <mergeCell ref="B6:M8"/>
    <mergeCell ref="S52:S53"/>
    <mergeCell ref="U52:U53"/>
  </mergeCells>
  <phoneticPr fontId="5"/>
  <dataValidations count="3">
    <dataValidation type="whole" operator="greaterThanOrEqual" allowBlank="1" showInputMessage="1" showErrorMessage="1" errorTitle="整数値を入力" error="整数値を入力してください。" sqref="P54:Q103 H54:I103" xr:uid="{00000000-0002-0000-0700-000000000000}">
      <formula1>0</formula1>
    </dataValidation>
    <dataValidation type="list" allowBlank="1" showInputMessage="1" showErrorMessage="1" sqref="D54:D103" xr:uid="{00000000-0002-0000-0700-000001000000}">
      <formula1>二次製品</formula1>
    </dataValidation>
    <dataValidation type="list" showInputMessage="1" showErrorMessage="1" promptTitle="分からない場合" prompt="不明を選択してください。" sqref="L54:L103" xr:uid="{00000000-0002-0000-0700-000002000000}">
      <formula1>不明</formula1>
    </dataValidation>
  </dataValidations>
  <pageMargins left="0.39370078740157483" right="0.15748031496062992" top="0.59055118110236227" bottom="0.23622047244094491" header="0.31496062992125984" footer="0.15748031496062992"/>
  <pageSetup paperSize="8" scale="60" orientation="portrait" r:id="rId1"/>
  <headerFooter alignWithMargins="0">
    <oddHeader>&amp;L&amp;A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9CCFF"/>
  </sheetPr>
  <dimension ref="A1:P22"/>
  <sheetViews>
    <sheetView showGridLines="0" zoomScaleNormal="100" zoomScaleSheetLayoutView="100" workbookViewId="0">
      <selection activeCell="H13" sqref="H13:K13"/>
    </sheetView>
  </sheetViews>
  <sheetFormatPr defaultRowHeight="13.5"/>
  <cols>
    <col min="1" max="1" width="1.75" style="1092" customWidth="1"/>
    <col min="2" max="2" width="3" style="1092" customWidth="1"/>
    <col min="3" max="3" width="3.75" style="1092" customWidth="1"/>
    <col min="4" max="4" width="4.625" style="1092" customWidth="1"/>
    <col min="5" max="5" width="10.75" style="1092" customWidth="1"/>
    <col min="6" max="6" width="2.875" style="1092" customWidth="1"/>
    <col min="7" max="7" width="10" style="1092" customWidth="1"/>
    <col min="8" max="8" width="3.375" style="1092" customWidth="1"/>
    <col min="9" max="9" width="8.125" style="1092" customWidth="1"/>
    <col min="10" max="10" width="3.25" style="1092" customWidth="1"/>
    <col min="11" max="11" width="6.375" style="1092" customWidth="1"/>
    <col min="12" max="12" width="3.25" style="1092" customWidth="1"/>
    <col min="13" max="13" width="6.625" style="1092" customWidth="1"/>
    <col min="14" max="14" width="2.75" style="1092" customWidth="1"/>
    <col min="15" max="15" width="14.25" style="1092" customWidth="1"/>
    <col min="16" max="16" width="3.5" style="1092" customWidth="1"/>
    <col min="17" max="256" width="9" style="1092"/>
    <col min="257" max="257" width="1.75" style="1092" customWidth="1"/>
    <col min="258" max="258" width="3" style="1092" customWidth="1"/>
    <col min="259" max="259" width="3.75" style="1092" customWidth="1"/>
    <col min="260" max="260" width="4.625" style="1092" customWidth="1"/>
    <col min="261" max="261" width="10.75" style="1092" customWidth="1"/>
    <col min="262" max="262" width="2.875" style="1092" customWidth="1"/>
    <col min="263" max="263" width="10" style="1092" customWidth="1"/>
    <col min="264" max="264" width="3.375" style="1092" customWidth="1"/>
    <col min="265" max="265" width="8.125" style="1092" customWidth="1"/>
    <col min="266" max="266" width="3.25" style="1092" customWidth="1"/>
    <col min="267" max="267" width="6.375" style="1092" customWidth="1"/>
    <col min="268" max="268" width="3.25" style="1092" customWidth="1"/>
    <col min="269" max="269" width="6.625" style="1092" customWidth="1"/>
    <col min="270" max="270" width="2.75" style="1092" customWidth="1"/>
    <col min="271" max="271" width="14.25" style="1092" customWidth="1"/>
    <col min="272" max="272" width="3.5" style="1092" customWidth="1"/>
    <col min="273" max="512" width="9" style="1092"/>
    <col min="513" max="513" width="1.75" style="1092" customWidth="1"/>
    <col min="514" max="514" width="3" style="1092" customWidth="1"/>
    <col min="515" max="515" width="3.75" style="1092" customWidth="1"/>
    <col min="516" max="516" width="4.625" style="1092" customWidth="1"/>
    <col min="517" max="517" width="10.75" style="1092" customWidth="1"/>
    <col min="518" max="518" width="2.875" style="1092" customWidth="1"/>
    <col min="519" max="519" width="10" style="1092" customWidth="1"/>
    <col min="520" max="520" width="3.375" style="1092" customWidth="1"/>
    <col min="521" max="521" width="8.125" style="1092" customWidth="1"/>
    <col min="522" max="522" width="3.25" style="1092" customWidth="1"/>
    <col min="523" max="523" width="6.375" style="1092" customWidth="1"/>
    <col min="524" max="524" width="3.25" style="1092" customWidth="1"/>
    <col min="525" max="525" width="6.625" style="1092" customWidth="1"/>
    <col min="526" max="526" width="2.75" style="1092" customWidth="1"/>
    <col min="527" max="527" width="14.25" style="1092" customWidth="1"/>
    <col min="528" max="528" width="3.5" style="1092" customWidth="1"/>
    <col min="529" max="768" width="9" style="1092"/>
    <col min="769" max="769" width="1.75" style="1092" customWidth="1"/>
    <col min="770" max="770" width="3" style="1092" customWidth="1"/>
    <col min="771" max="771" width="3.75" style="1092" customWidth="1"/>
    <col min="772" max="772" width="4.625" style="1092" customWidth="1"/>
    <col min="773" max="773" width="10.75" style="1092" customWidth="1"/>
    <col min="774" max="774" width="2.875" style="1092" customWidth="1"/>
    <col min="775" max="775" width="10" style="1092" customWidth="1"/>
    <col min="776" max="776" width="3.375" style="1092" customWidth="1"/>
    <col min="777" max="777" width="8.125" style="1092" customWidth="1"/>
    <col min="778" max="778" width="3.25" style="1092" customWidth="1"/>
    <col min="779" max="779" width="6.375" style="1092" customWidth="1"/>
    <col min="780" max="780" width="3.25" style="1092" customWidth="1"/>
    <col min="781" max="781" width="6.625" style="1092" customWidth="1"/>
    <col min="782" max="782" width="2.75" style="1092" customWidth="1"/>
    <col min="783" max="783" width="14.25" style="1092" customWidth="1"/>
    <col min="784" max="784" width="3.5" style="1092" customWidth="1"/>
    <col min="785" max="1024" width="9" style="1092"/>
    <col min="1025" max="1025" width="1.75" style="1092" customWidth="1"/>
    <col min="1026" max="1026" width="3" style="1092" customWidth="1"/>
    <col min="1027" max="1027" width="3.75" style="1092" customWidth="1"/>
    <col min="1028" max="1028" width="4.625" style="1092" customWidth="1"/>
    <col min="1029" max="1029" width="10.75" style="1092" customWidth="1"/>
    <col min="1030" max="1030" width="2.875" style="1092" customWidth="1"/>
    <col min="1031" max="1031" width="10" style="1092" customWidth="1"/>
    <col min="1032" max="1032" width="3.375" style="1092" customWidth="1"/>
    <col min="1033" max="1033" width="8.125" style="1092" customWidth="1"/>
    <col min="1034" max="1034" width="3.25" style="1092" customWidth="1"/>
    <col min="1035" max="1035" width="6.375" style="1092" customWidth="1"/>
    <col min="1036" max="1036" width="3.25" style="1092" customWidth="1"/>
    <col min="1037" max="1037" width="6.625" style="1092" customWidth="1"/>
    <col min="1038" max="1038" width="2.75" style="1092" customWidth="1"/>
    <col min="1039" max="1039" width="14.25" style="1092" customWidth="1"/>
    <col min="1040" max="1040" width="3.5" style="1092" customWidth="1"/>
    <col min="1041" max="1280" width="9" style="1092"/>
    <col min="1281" max="1281" width="1.75" style="1092" customWidth="1"/>
    <col min="1282" max="1282" width="3" style="1092" customWidth="1"/>
    <col min="1283" max="1283" width="3.75" style="1092" customWidth="1"/>
    <col min="1284" max="1284" width="4.625" style="1092" customWidth="1"/>
    <col min="1285" max="1285" width="10.75" style="1092" customWidth="1"/>
    <col min="1286" max="1286" width="2.875" style="1092" customWidth="1"/>
    <col min="1287" max="1287" width="10" style="1092" customWidth="1"/>
    <col min="1288" max="1288" width="3.375" style="1092" customWidth="1"/>
    <col min="1289" max="1289" width="8.125" style="1092" customWidth="1"/>
    <col min="1290" max="1290" width="3.25" style="1092" customWidth="1"/>
    <col min="1291" max="1291" width="6.375" style="1092" customWidth="1"/>
    <col min="1292" max="1292" width="3.25" style="1092" customWidth="1"/>
    <col min="1293" max="1293" width="6.625" style="1092" customWidth="1"/>
    <col min="1294" max="1294" width="2.75" style="1092" customWidth="1"/>
    <col min="1295" max="1295" width="14.25" style="1092" customWidth="1"/>
    <col min="1296" max="1296" width="3.5" style="1092" customWidth="1"/>
    <col min="1297" max="1536" width="9" style="1092"/>
    <col min="1537" max="1537" width="1.75" style="1092" customWidth="1"/>
    <col min="1538" max="1538" width="3" style="1092" customWidth="1"/>
    <col min="1539" max="1539" width="3.75" style="1092" customWidth="1"/>
    <col min="1540" max="1540" width="4.625" style="1092" customWidth="1"/>
    <col min="1541" max="1541" width="10.75" style="1092" customWidth="1"/>
    <col min="1542" max="1542" width="2.875" style="1092" customWidth="1"/>
    <col min="1543" max="1543" width="10" style="1092" customWidth="1"/>
    <col min="1544" max="1544" width="3.375" style="1092" customWidth="1"/>
    <col min="1545" max="1545" width="8.125" style="1092" customWidth="1"/>
    <col min="1546" max="1546" width="3.25" style="1092" customWidth="1"/>
    <col min="1547" max="1547" width="6.375" style="1092" customWidth="1"/>
    <col min="1548" max="1548" width="3.25" style="1092" customWidth="1"/>
    <col min="1549" max="1549" width="6.625" style="1092" customWidth="1"/>
    <col min="1550" max="1550" width="2.75" style="1092" customWidth="1"/>
    <col min="1551" max="1551" width="14.25" style="1092" customWidth="1"/>
    <col min="1552" max="1552" width="3.5" style="1092" customWidth="1"/>
    <col min="1553" max="1792" width="9" style="1092"/>
    <col min="1793" max="1793" width="1.75" style="1092" customWidth="1"/>
    <col min="1794" max="1794" width="3" style="1092" customWidth="1"/>
    <col min="1795" max="1795" width="3.75" style="1092" customWidth="1"/>
    <col min="1796" max="1796" width="4.625" style="1092" customWidth="1"/>
    <col min="1797" max="1797" width="10.75" style="1092" customWidth="1"/>
    <col min="1798" max="1798" width="2.875" style="1092" customWidth="1"/>
    <col min="1799" max="1799" width="10" style="1092" customWidth="1"/>
    <col min="1800" max="1800" width="3.375" style="1092" customWidth="1"/>
    <col min="1801" max="1801" width="8.125" style="1092" customWidth="1"/>
    <col min="1802" max="1802" width="3.25" style="1092" customWidth="1"/>
    <col min="1803" max="1803" width="6.375" style="1092" customWidth="1"/>
    <col min="1804" max="1804" width="3.25" style="1092" customWidth="1"/>
    <col min="1805" max="1805" width="6.625" style="1092" customWidth="1"/>
    <col min="1806" max="1806" width="2.75" style="1092" customWidth="1"/>
    <col min="1807" max="1807" width="14.25" style="1092" customWidth="1"/>
    <col min="1808" max="1808" width="3.5" style="1092" customWidth="1"/>
    <col min="1809" max="2048" width="9" style="1092"/>
    <col min="2049" max="2049" width="1.75" style="1092" customWidth="1"/>
    <col min="2050" max="2050" width="3" style="1092" customWidth="1"/>
    <col min="2051" max="2051" width="3.75" style="1092" customWidth="1"/>
    <col min="2052" max="2052" width="4.625" style="1092" customWidth="1"/>
    <col min="2053" max="2053" width="10.75" style="1092" customWidth="1"/>
    <col min="2054" max="2054" width="2.875" style="1092" customWidth="1"/>
    <col min="2055" max="2055" width="10" style="1092" customWidth="1"/>
    <col min="2056" max="2056" width="3.375" style="1092" customWidth="1"/>
    <col min="2057" max="2057" width="8.125" style="1092" customWidth="1"/>
    <col min="2058" max="2058" width="3.25" style="1092" customWidth="1"/>
    <col min="2059" max="2059" width="6.375" style="1092" customWidth="1"/>
    <col min="2060" max="2060" width="3.25" style="1092" customWidth="1"/>
    <col min="2061" max="2061" width="6.625" style="1092" customWidth="1"/>
    <col min="2062" max="2062" width="2.75" style="1092" customWidth="1"/>
    <col min="2063" max="2063" width="14.25" style="1092" customWidth="1"/>
    <col min="2064" max="2064" width="3.5" style="1092" customWidth="1"/>
    <col min="2065" max="2304" width="9" style="1092"/>
    <col min="2305" max="2305" width="1.75" style="1092" customWidth="1"/>
    <col min="2306" max="2306" width="3" style="1092" customWidth="1"/>
    <col min="2307" max="2307" width="3.75" style="1092" customWidth="1"/>
    <col min="2308" max="2308" width="4.625" style="1092" customWidth="1"/>
    <col min="2309" max="2309" width="10.75" style="1092" customWidth="1"/>
    <col min="2310" max="2310" width="2.875" style="1092" customWidth="1"/>
    <col min="2311" max="2311" width="10" style="1092" customWidth="1"/>
    <col min="2312" max="2312" width="3.375" style="1092" customWidth="1"/>
    <col min="2313" max="2313" width="8.125" style="1092" customWidth="1"/>
    <col min="2314" max="2314" width="3.25" style="1092" customWidth="1"/>
    <col min="2315" max="2315" width="6.375" style="1092" customWidth="1"/>
    <col min="2316" max="2316" width="3.25" style="1092" customWidth="1"/>
    <col min="2317" max="2317" width="6.625" style="1092" customWidth="1"/>
    <col min="2318" max="2318" width="2.75" style="1092" customWidth="1"/>
    <col min="2319" max="2319" width="14.25" style="1092" customWidth="1"/>
    <col min="2320" max="2320" width="3.5" style="1092" customWidth="1"/>
    <col min="2321" max="2560" width="9" style="1092"/>
    <col min="2561" max="2561" width="1.75" style="1092" customWidth="1"/>
    <col min="2562" max="2562" width="3" style="1092" customWidth="1"/>
    <col min="2563" max="2563" width="3.75" style="1092" customWidth="1"/>
    <col min="2564" max="2564" width="4.625" style="1092" customWidth="1"/>
    <col min="2565" max="2565" width="10.75" style="1092" customWidth="1"/>
    <col min="2566" max="2566" width="2.875" style="1092" customWidth="1"/>
    <col min="2567" max="2567" width="10" style="1092" customWidth="1"/>
    <col min="2568" max="2568" width="3.375" style="1092" customWidth="1"/>
    <col min="2569" max="2569" width="8.125" style="1092" customWidth="1"/>
    <col min="2570" max="2570" width="3.25" style="1092" customWidth="1"/>
    <col min="2571" max="2571" width="6.375" style="1092" customWidth="1"/>
    <col min="2572" max="2572" width="3.25" style="1092" customWidth="1"/>
    <col min="2573" max="2573" width="6.625" style="1092" customWidth="1"/>
    <col min="2574" max="2574" width="2.75" style="1092" customWidth="1"/>
    <col min="2575" max="2575" width="14.25" style="1092" customWidth="1"/>
    <col min="2576" max="2576" width="3.5" style="1092" customWidth="1"/>
    <col min="2577" max="2816" width="9" style="1092"/>
    <col min="2817" max="2817" width="1.75" style="1092" customWidth="1"/>
    <col min="2818" max="2818" width="3" style="1092" customWidth="1"/>
    <col min="2819" max="2819" width="3.75" style="1092" customWidth="1"/>
    <col min="2820" max="2820" width="4.625" style="1092" customWidth="1"/>
    <col min="2821" max="2821" width="10.75" style="1092" customWidth="1"/>
    <col min="2822" max="2822" width="2.875" style="1092" customWidth="1"/>
    <col min="2823" max="2823" width="10" style="1092" customWidth="1"/>
    <col min="2824" max="2824" width="3.375" style="1092" customWidth="1"/>
    <col min="2825" max="2825" width="8.125" style="1092" customWidth="1"/>
    <col min="2826" max="2826" width="3.25" style="1092" customWidth="1"/>
    <col min="2827" max="2827" width="6.375" style="1092" customWidth="1"/>
    <col min="2828" max="2828" width="3.25" style="1092" customWidth="1"/>
    <col min="2829" max="2829" width="6.625" style="1092" customWidth="1"/>
    <col min="2830" max="2830" width="2.75" style="1092" customWidth="1"/>
    <col min="2831" max="2831" width="14.25" style="1092" customWidth="1"/>
    <col min="2832" max="2832" width="3.5" style="1092" customWidth="1"/>
    <col min="2833" max="3072" width="9" style="1092"/>
    <col min="3073" max="3073" width="1.75" style="1092" customWidth="1"/>
    <col min="3074" max="3074" width="3" style="1092" customWidth="1"/>
    <col min="3075" max="3075" width="3.75" style="1092" customWidth="1"/>
    <col min="3076" max="3076" width="4.625" style="1092" customWidth="1"/>
    <col min="3077" max="3077" width="10.75" style="1092" customWidth="1"/>
    <col min="3078" max="3078" width="2.875" style="1092" customWidth="1"/>
    <col min="3079" max="3079" width="10" style="1092" customWidth="1"/>
    <col min="3080" max="3080" width="3.375" style="1092" customWidth="1"/>
    <col min="3081" max="3081" width="8.125" style="1092" customWidth="1"/>
    <col min="3082" max="3082" width="3.25" style="1092" customWidth="1"/>
    <col min="3083" max="3083" width="6.375" style="1092" customWidth="1"/>
    <col min="3084" max="3084" width="3.25" style="1092" customWidth="1"/>
    <col min="3085" max="3085" width="6.625" style="1092" customWidth="1"/>
    <col min="3086" max="3086" width="2.75" style="1092" customWidth="1"/>
    <col min="3087" max="3087" width="14.25" style="1092" customWidth="1"/>
    <col min="3088" max="3088" width="3.5" style="1092" customWidth="1"/>
    <col min="3089" max="3328" width="9" style="1092"/>
    <col min="3329" max="3329" width="1.75" style="1092" customWidth="1"/>
    <col min="3330" max="3330" width="3" style="1092" customWidth="1"/>
    <col min="3331" max="3331" width="3.75" style="1092" customWidth="1"/>
    <col min="3332" max="3332" width="4.625" style="1092" customWidth="1"/>
    <col min="3333" max="3333" width="10.75" style="1092" customWidth="1"/>
    <col min="3334" max="3334" width="2.875" style="1092" customWidth="1"/>
    <col min="3335" max="3335" width="10" style="1092" customWidth="1"/>
    <col min="3336" max="3336" width="3.375" style="1092" customWidth="1"/>
    <col min="3337" max="3337" width="8.125" style="1092" customWidth="1"/>
    <col min="3338" max="3338" width="3.25" style="1092" customWidth="1"/>
    <col min="3339" max="3339" width="6.375" style="1092" customWidth="1"/>
    <col min="3340" max="3340" width="3.25" style="1092" customWidth="1"/>
    <col min="3341" max="3341" width="6.625" style="1092" customWidth="1"/>
    <col min="3342" max="3342" width="2.75" style="1092" customWidth="1"/>
    <col min="3343" max="3343" width="14.25" style="1092" customWidth="1"/>
    <col min="3344" max="3344" width="3.5" style="1092" customWidth="1"/>
    <col min="3345" max="3584" width="9" style="1092"/>
    <col min="3585" max="3585" width="1.75" style="1092" customWidth="1"/>
    <col min="3586" max="3586" width="3" style="1092" customWidth="1"/>
    <col min="3587" max="3587" width="3.75" style="1092" customWidth="1"/>
    <col min="3588" max="3588" width="4.625" style="1092" customWidth="1"/>
    <col min="3589" max="3589" width="10.75" style="1092" customWidth="1"/>
    <col min="3590" max="3590" width="2.875" style="1092" customWidth="1"/>
    <col min="3591" max="3591" width="10" style="1092" customWidth="1"/>
    <col min="3592" max="3592" width="3.375" style="1092" customWidth="1"/>
    <col min="3593" max="3593" width="8.125" style="1092" customWidth="1"/>
    <col min="3594" max="3594" width="3.25" style="1092" customWidth="1"/>
    <col min="3595" max="3595" width="6.375" style="1092" customWidth="1"/>
    <col min="3596" max="3596" width="3.25" style="1092" customWidth="1"/>
    <col min="3597" max="3597" width="6.625" style="1092" customWidth="1"/>
    <col min="3598" max="3598" width="2.75" style="1092" customWidth="1"/>
    <col min="3599" max="3599" width="14.25" style="1092" customWidth="1"/>
    <col min="3600" max="3600" width="3.5" style="1092" customWidth="1"/>
    <col min="3601" max="3840" width="9" style="1092"/>
    <col min="3841" max="3841" width="1.75" style="1092" customWidth="1"/>
    <col min="3842" max="3842" width="3" style="1092" customWidth="1"/>
    <col min="3843" max="3843" width="3.75" style="1092" customWidth="1"/>
    <col min="3844" max="3844" width="4.625" style="1092" customWidth="1"/>
    <col min="3845" max="3845" width="10.75" style="1092" customWidth="1"/>
    <col min="3846" max="3846" width="2.875" style="1092" customWidth="1"/>
    <col min="3847" max="3847" width="10" style="1092" customWidth="1"/>
    <col min="3848" max="3848" width="3.375" style="1092" customWidth="1"/>
    <col min="3849" max="3849" width="8.125" style="1092" customWidth="1"/>
    <col min="3850" max="3850" width="3.25" style="1092" customWidth="1"/>
    <col min="3851" max="3851" width="6.375" style="1092" customWidth="1"/>
    <col min="3852" max="3852" width="3.25" style="1092" customWidth="1"/>
    <col min="3853" max="3853" width="6.625" style="1092" customWidth="1"/>
    <col min="3854" max="3854" width="2.75" style="1092" customWidth="1"/>
    <col min="3855" max="3855" width="14.25" style="1092" customWidth="1"/>
    <col min="3856" max="3856" width="3.5" style="1092" customWidth="1"/>
    <col min="3857" max="4096" width="9" style="1092"/>
    <col min="4097" max="4097" width="1.75" style="1092" customWidth="1"/>
    <col min="4098" max="4098" width="3" style="1092" customWidth="1"/>
    <col min="4099" max="4099" width="3.75" style="1092" customWidth="1"/>
    <col min="4100" max="4100" width="4.625" style="1092" customWidth="1"/>
    <col min="4101" max="4101" width="10.75" style="1092" customWidth="1"/>
    <col min="4102" max="4102" width="2.875" style="1092" customWidth="1"/>
    <col min="4103" max="4103" width="10" style="1092" customWidth="1"/>
    <col min="4104" max="4104" width="3.375" style="1092" customWidth="1"/>
    <col min="4105" max="4105" width="8.125" style="1092" customWidth="1"/>
    <col min="4106" max="4106" width="3.25" style="1092" customWidth="1"/>
    <col min="4107" max="4107" width="6.375" style="1092" customWidth="1"/>
    <col min="4108" max="4108" width="3.25" style="1092" customWidth="1"/>
    <col min="4109" max="4109" width="6.625" style="1092" customWidth="1"/>
    <col min="4110" max="4110" width="2.75" style="1092" customWidth="1"/>
    <col min="4111" max="4111" width="14.25" style="1092" customWidth="1"/>
    <col min="4112" max="4112" width="3.5" style="1092" customWidth="1"/>
    <col min="4113" max="4352" width="9" style="1092"/>
    <col min="4353" max="4353" width="1.75" style="1092" customWidth="1"/>
    <col min="4354" max="4354" width="3" style="1092" customWidth="1"/>
    <col min="4355" max="4355" width="3.75" style="1092" customWidth="1"/>
    <col min="4356" max="4356" width="4.625" style="1092" customWidth="1"/>
    <col min="4357" max="4357" width="10.75" style="1092" customWidth="1"/>
    <col min="4358" max="4358" width="2.875" style="1092" customWidth="1"/>
    <col min="4359" max="4359" width="10" style="1092" customWidth="1"/>
    <col min="4360" max="4360" width="3.375" style="1092" customWidth="1"/>
    <col min="4361" max="4361" width="8.125" style="1092" customWidth="1"/>
    <col min="4362" max="4362" width="3.25" style="1092" customWidth="1"/>
    <col min="4363" max="4363" width="6.375" style="1092" customWidth="1"/>
    <col min="4364" max="4364" width="3.25" style="1092" customWidth="1"/>
    <col min="4365" max="4365" width="6.625" style="1092" customWidth="1"/>
    <col min="4366" max="4366" width="2.75" style="1092" customWidth="1"/>
    <col min="4367" max="4367" width="14.25" style="1092" customWidth="1"/>
    <col min="4368" max="4368" width="3.5" style="1092" customWidth="1"/>
    <col min="4369" max="4608" width="9" style="1092"/>
    <col min="4609" max="4609" width="1.75" style="1092" customWidth="1"/>
    <col min="4610" max="4610" width="3" style="1092" customWidth="1"/>
    <col min="4611" max="4611" width="3.75" style="1092" customWidth="1"/>
    <col min="4612" max="4612" width="4.625" style="1092" customWidth="1"/>
    <col min="4613" max="4613" width="10.75" style="1092" customWidth="1"/>
    <col min="4614" max="4614" width="2.875" style="1092" customWidth="1"/>
    <col min="4615" max="4615" width="10" style="1092" customWidth="1"/>
    <col min="4616" max="4616" width="3.375" style="1092" customWidth="1"/>
    <col min="4617" max="4617" width="8.125" style="1092" customWidth="1"/>
    <col min="4618" max="4618" width="3.25" style="1092" customWidth="1"/>
    <col min="4619" max="4619" width="6.375" style="1092" customWidth="1"/>
    <col min="4620" max="4620" width="3.25" style="1092" customWidth="1"/>
    <col min="4621" max="4621" width="6.625" style="1092" customWidth="1"/>
    <col min="4622" max="4622" width="2.75" style="1092" customWidth="1"/>
    <col min="4623" max="4623" width="14.25" style="1092" customWidth="1"/>
    <col min="4624" max="4624" width="3.5" style="1092" customWidth="1"/>
    <col min="4625" max="4864" width="9" style="1092"/>
    <col min="4865" max="4865" width="1.75" style="1092" customWidth="1"/>
    <col min="4866" max="4866" width="3" style="1092" customWidth="1"/>
    <col min="4867" max="4867" width="3.75" style="1092" customWidth="1"/>
    <col min="4868" max="4868" width="4.625" style="1092" customWidth="1"/>
    <col min="4869" max="4869" width="10.75" style="1092" customWidth="1"/>
    <col min="4870" max="4870" width="2.875" style="1092" customWidth="1"/>
    <col min="4871" max="4871" width="10" style="1092" customWidth="1"/>
    <col min="4872" max="4872" width="3.375" style="1092" customWidth="1"/>
    <col min="4873" max="4873" width="8.125" style="1092" customWidth="1"/>
    <col min="4874" max="4874" width="3.25" style="1092" customWidth="1"/>
    <col min="4875" max="4875" width="6.375" style="1092" customWidth="1"/>
    <col min="4876" max="4876" width="3.25" style="1092" customWidth="1"/>
    <col min="4877" max="4877" width="6.625" style="1092" customWidth="1"/>
    <col min="4878" max="4878" width="2.75" style="1092" customWidth="1"/>
    <col min="4879" max="4879" width="14.25" style="1092" customWidth="1"/>
    <col min="4880" max="4880" width="3.5" style="1092" customWidth="1"/>
    <col min="4881" max="5120" width="9" style="1092"/>
    <col min="5121" max="5121" width="1.75" style="1092" customWidth="1"/>
    <col min="5122" max="5122" width="3" style="1092" customWidth="1"/>
    <col min="5123" max="5123" width="3.75" style="1092" customWidth="1"/>
    <col min="5124" max="5124" width="4.625" style="1092" customWidth="1"/>
    <col min="5125" max="5125" width="10.75" style="1092" customWidth="1"/>
    <col min="5126" max="5126" width="2.875" style="1092" customWidth="1"/>
    <col min="5127" max="5127" width="10" style="1092" customWidth="1"/>
    <col min="5128" max="5128" width="3.375" style="1092" customWidth="1"/>
    <col min="5129" max="5129" width="8.125" style="1092" customWidth="1"/>
    <col min="5130" max="5130" width="3.25" style="1092" customWidth="1"/>
    <col min="5131" max="5131" width="6.375" style="1092" customWidth="1"/>
    <col min="5132" max="5132" width="3.25" style="1092" customWidth="1"/>
    <col min="5133" max="5133" width="6.625" style="1092" customWidth="1"/>
    <col min="5134" max="5134" width="2.75" style="1092" customWidth="1"/>
    <col min="5135" max="5135" width="14.25" style="1092" customWidth="1"/>
    <col min="5136" max="5136" width="3.5" style="1092" customWidth="1"/>
    <col min="5137" max="5376" width="9" style="1092"/>
    <col min="5377" max="5377" width="1.75" style="1092" customWidth="1"/>
    <col min="5378" max="5378" width="3" style="1092" customWidth="1"/>
    <col min="5379" max="5379" width="3.75" style="1092" customWidth="1"/>
    <col min="5380" max="5380" width="4.625" style="1092" customWidth="1"/>
    <col min="5381" max="5381" width="10.75" style="1092" customWidth="1"/>
    <col min="5382" max="5382" width="2.875" style="1092" customWidth="1"/>
    <col min="5383" max="5383" width="10" style="1092" customWidth="1"/>
    <col min="5384" max="5384" width="3.375" style="1092" customWidth="1"/>
    <col min="5385" max="5385" width="8.125" style="1092" customWidth="1"/>
    <col min="5386" max="5386" width="3.25" style="1092" customWidth="1"/>
    <col min="5387" max="5387" width="6.375" style="1092" customWidth="1"/>
    <col min="5388" max="5388" width="3.25" style="1092" customWidth="1"/>
    <col min="5389" max="5389" width="6.625" style="1092" customWidth="1"/>
    <col min="5390" max="5390" width="2.75" style="1092" customWidth="1"/>
    <col min="5391" max="5391" width="14.25" style="1092" customWidth="1"/>
    <col min="5392" max="5392" width="3.5" style="1092" customWidth="1"/>
    <col min="5393" max="5632" width="9" style="1092"/>
    <col min="5633" max="5633" width="1.75" style="1092" customWidth="1"/>
    <col min="5634" max="5634" width="3" style="1092" customWidth="1"/>
    <col min="5635" max="5635" width="3.75" style="1092" customWidth="1"/>
    <col min="5636" max="5636" width="4.625" style="1092" customWidth="1"/>
    <col min="5637" max="5637" width="10.75" style="1092" customWidth="1"/>
    <col min="5638" max="5638" width="2.875" style="1092" customWidth="1"/>
    <col min="5639" max="5639" width="10" style="1092" customWidth="1"/>
    <col min="5640" max="5640" width="3.375" style="1092" customWidth="1"/>
    <col min="5641" max="5641" width="8.125" style="1092" customWidth="1"/>
    <col min="5642" max="5642" width="3.25" style="1092" customWidth="1"/>
    <col min="5643" max="5643" width="6.375" style="1092" customWidth="1"/>
    <col min="5644" max="5644" width="3.25" style="1092" customWidth="1"/>
    <col min="5645" max="5645" width="6.625" style="1092" customWidth="1"/>
    <col min="5646" max="5646" width="2.75" style="1092" customWidth="1"/>
    <col min="5647" max="5647" width="14.25" style="1092" customWidth="1"/>
    <col min="5648" max="5648" width="3.5" style="1092" customWidth="1"/>
    <col min="5649" max="5888" width="9" style="1092"/>
    <col min="5889" max="5889" width="1.75" style="1092" customWidth="1"/>
    <col min="5890" max="5890" width="3" style="1092" customWidth="1"/>
    <col min="5891" max="5891" width="3.75" style="1092" customWidth="1"/>
    <col min="5892" max="5892" width="4.625" style="1092" customWidth="1"/>
    <col min="5893" max="5893" width="10.75" style="1092" customWidth="1"/>
    <col min="5894" max="5894" width="2.875" style="1092" customWidth="1"/>
    <col min="5895" max="5895" width="10" style="1092" customWidth="1"/>
    <col min="5896" max="5896" width="3.375" style="1092" customWidth="1"/>
    <col min="5897" max="5897" width="8.125" style="1092" customWidth="1"/>
    <col min="5898" max="5898" width="3.25" style="1092" customWidth="1"/>
    <col min="5899" max="5899" width="6.375" style="1092" customWidth="1"/>
    <col min="5900" max="5900" width="3.25" style="1092" customWidth="1"/>
    <col min="5901" max="5901" width="6.625" style="1092" customWidth="1"/>
    <col min="5902" max="5902" width="2.75" style="1092" customWidth="1"/>
    <col min="5903" max="5903" width="14.25" style="1092" customWidth="1"/>
    <col min="5904" max="5904" width="3.5" style="1092" customWidth="1"/>
    <col min="5905" max="6144" width="9" style="1092"/>
    <col min="6145" max="6145" width="1.75" style="1092" customWidth="1"/>
    <col min="6146" max="6146" width="3" style="1092" customWidth="1"/>
    <col min="6147" max="6147" width="3.75" style="1092" customWidth="1"/>
    <col min="6148" max="6148" width="4.625" style="1092" customWidth="1"/>
    <col min="6149" max="6149" width="10.75" style="1092" customWidth="1"/>
    <col min="6150" max="6150" width="2.875" style="1092" customWidth="1"/>
    <col min="6151" max="6151" width="10" style="1092" customWidth="1"/>
    <col min="6152" max="6152" width="3.375" style="1092" customWidth="1"/>
    <col min="6153" max="6153" width="8.125" style="1092" customWidth="1"/>
    <col min="6154" max="6154" width="3.25" style="1092" customWidth="1"/>
    <col min="6155" max="6155" width="6.375" style="1092" customWidth="1"/>
    <col min="6156" max="6156" width="3.25" style="1092" customWidth="1"/>
    <col min="6157" max="6157" width="6.625" style="1092" customWidth="1"/>
    <col min="6158" max="6158" width="2.75" style="1092" customWidth="1"/>
    <col min="6159" max="6159" width="14.25" style="1092" customWidth="1"/>
    <col min="6160" max="6160" width="3.5" style="1092" customWidth="1"/>
    <col min="6161" max="6400" width="9" style="1092"/>
    <col min="6401" max="6401" width="1.75" style="1092" customWidth="1"/>
    <col min="6402" max="6402" width="3" style="1092" customWidth="1"/>
    <col min="6403" max="6403" width="3.75" style="1092" customWidth="1"/>
    <col min="6404" max="6404" width="4.625" style="1092" customWidth="1"/>
    <col min="6405" max="6405" width="10.75" style="1092" customWidth="1"/>
    <col min="6406" max="6406" width="2.875" style="1092" customWidth="1"/>
    <col min="6407" max="6407" width="10" style="1092" customWidth="1"/>
    <col min="6408" max="6408" width="3.375" style="1092" customWidth="1"/>
    <col min="6409" max="6409" width="8.125" style="1092" customWidth="1"/>
    <col min="6410" max="6410" width="3.25" style="1092" customWidth="1"/>
    <col min="6411" max="6411" width="6.375" style="1092" customWidth="1"/>
    <col min="6412" max="6412" width="3.25" style="1092" customWidth="1"/>
    <col min="6413" max="6413" width="6.625" style="1092" customWidth="1"/>
    <col min="6414" max="6414" width="2.75" style="1092" customWidth="1"/>
    <col min="6415" max="6415" width="14.25" style="1092" customWidth="1"/>
    <col min="6416" max="6416" width="3.5" style="1092" customWidth="1"/>
    <col min="6417" max="6656" width="9" style="1092"/>
    <col min="6657" max="6657" width="1.75" style="1092" customWidth="1"/>
    <col min="6658" max="6658" width="3" style="1092" customWidth="1"/>
    <col min="6659" max="6659" width="3.75" style="1092" customWidth="1"/>
    <col min="6660" max="6660" width="4.625" style="1092" customWidth="1"/>
    <col min="6661" max="6661" width="10.75" style="1092" customWidth="1"/>
    <col min="6662" max="6662" width="2.875" style="1092" customWidth="1"/>
    <col min="6663" max="6663" width="10" style="1092" customWidth="1"/>
    <col min="6664" max="6664" width="3.375" style="1092" customWidth="1"/>
    <col min="6665" max="6665" width="8.125" style="1092" customWidth="1"/>
    <col min="6666" max="6666" width="3.25" style="1092" customWidth="1"/>
    <col min="6667" max="6667" width="6.375" style="1092" customWidth="1"/>
    <col min="6668" max="6668" width="3.25" style="1092" customWidth="1"/>
    <col min="6669" max="6669" width="6.625" style="1092" customWidth="1"/>
    <col min="6670" max="6670" width="2.75" style="1092" customWidth="1"/>
    <col min="6671" max="6671" width="14.25" style="1092" customWidth="1"/>
    <col min="6672" max="6672" width="3.5" style="1092" customWidth="1"/>
    <col min="6673" max="6912" width="9" style="1092"/>
    <col min="6913" max="6913" width="1.75" style="1092" customWidth="1"/>
    <col min="6914" max="6914" width="3" style="1092" customWidth="1"/>
    <col min="6915" max="6915" width="3.75" style="1092" customWidth="1"/>
    <col min="6916" max="6916" width="4.625" style="1092" customWidth="1"/>
    <col min="6917" max="6917" width="10.75" style="1092" customWidth="1"/>
    <col min="6918" max="6918" width="2.875" style="1092" customWidth="1"/>
    <col min="6919" max="6919" width="10" style="1092" customWidth="1"/>
    <col min="6920" max="6920" width="3.375" style="1092" customWidth="1"/>
    <col min="6921" max="6921" width="8.125" style="1092" customWidth="1"/>
    <col min="6922" max="6922" width="3.25" style="1092" customWidth="1"/>
    <col min="6923" max="6923" width="6.375" style="1092" customWidth="1"/>
    <col min="6924" max="6924" width="3.25" style="1092" customWidth="1"/>
    <col min="6925" max="6925" width="6.625" style="1092" customWidth="1"/>
    <col min="6926" max="6926" width="2.75" style="1092" customWidth="1"/>
    <col min="6927" max="6927" width="14.25" style="1092" customWidth="1"/>
    <col min="6928" max="6928" width="3.5" style="1092" customWidth="1"/>
    <col min="6929" max="7168" width="9" style="1092"/>
    <col min="7169" max="7169" width="1.75" style="1092" customWidth="1"/>
    <col min="7170" max="7170" width="3" style="1092" customWidth="1"/>
    <col min="7171" max="7171" width="3.75" style="1092" customWidth="1"/>
    <col min="7172" max="7172" width="4.625" style="1092" customWidth="1"/>
    <col min="7173" max="7173" width="10.75" style="1092" customWidth="1"/>
    <col min="7174" max="7174" width="2.875" style="1092" customWidth="1"/>
    <col min="7175" max="7175" width="10" style="1092" customWidth="1"/>
    <col min="7176" max="7176" width="3.375" style="1092" customWidth="1"/>
    <col min="7177" max="7177" width="8.125" style="1092" customWidth="1"/>
    <col min="7178" max="7178" width="3.25" style="1092" customWidth="1"/>
    <col min="7179" max="7179" width="6.375" style="1092" customWidth="1"/>
    <col min="7180" max="7180" width="3.25" style="1092" customWidth="1"/>
    <col min="7181" max="7181" width="6.625" style="1092" customWidth="1"/>
    <col min="7182" max="7182" width="2.75" style="1092" customWidth="1"/>
    <col min="7183" max="7183" width="14.25" style="1092" customWidth="1"/>
    <col min="7184" max="7184" width="3.5" style="1092" customWidth="1"/>
    <col min="7185" max="7424" width="9" style="1092"/>
    <col min="7425" max="7425" width="1.75" style="1092" customWidth="1"/>
    <col min="7426" max="7426" width="3" style="1092" customWidth="1"/>
    <col min="7427" max="7427" width="3.75" style="1092" customWidth="1"/>
    <col min="7428" max="7428" width="4.625" style="1092" customWidth="1"/>
    <col min="7429" max="7429" width="10.75" style="1092" customWidth="1"/>
    <col min="7430" max="7430" width="2.875" style="1092" customWidth="1"/>
    <col min="7431" max="7431" width="10" style="1092" customWidth="1"/>
    <col min="7432" max="7432" width="3.375" style="1092" customWidth="1"/>
    <col min="7433" max="7433" width="8.125" style="1092" customWidth="1"/>
    <col min="7434" max="7434" width="3.25" style="1092" customWidth="1"/>
    <col min="7435" max="7435" width="6.375" style="1092" customWidth="1"/>
    <col min="7436" max="7436" width="3.25" style="1092" customWidth="1"/>
    <col min="7437" max="7437" width="6.625" style="1092" customWidth="1"/>
    <col min="7438" max="7438" width="2.75" style="1092" customWidth="1"/>
    <col min="7439" max="7439" width="14.25" style="1092" customWidth="1"/>
    <col min="7440" max="7440" width="3.5" style="1092" customWidth="1"/>
    <col min="7441" max="7680" width="9" style="1092"/>
    <col min="7681" max="7681" width="1.75" style="1092" customWidth="1"/>
    <col min="7682" max="7682" width="3" style="1092" customWidth="1"/>
    <col min="7683" max="7683" width="3.75" style="1092" customWidth="1"/>
    <col min="7684" max="7684" width="4.625" style="1092" customWidth="1"/>
    <col min="7685" max="7685" width="10.75" style="1092" customWidth="1"/>
    <col min="7686" max="7686" width="2.875" style="1092" customWidth="1"/>
    <col min="7687" max="7687" width="10" style="1092" customWidth="1"/>
    <col min="7688" max="7688" width="3.375" style="1092" customWidth="1"/>
    <col min="7689" max="7689" width="8.125" style="1092" customWidth="1"/>
    <col min="7690" max="7690" width="3.25" style="1092" customWidth="1"/>
    <col min="7691" max="7691" width="6.375" style="1092" customWidth="1"/>
    <col min="7692" max="7692" width="3.25" style="1092" customWidth="1"/>
    <col min="7693" max="7693" width="6.625" style="1092" customWidth="1"/>
    <col min="7694" max="7694" width="2.75" style="1092" customWidth="1"/>
    <col min="7695" max="7695" width="14.25" style="1092" customWidth="1"/>
    <col min="7696" max="7696" width="3.5" style="1092" customWidth="1"/>
    <col min="7697" max="7936" width="9" style="1092"/>
    <col min="7937" max="7937" width="1.75" style="1092" customWidth="1"/>
    <col min="7938" max="7938" width="3" style="1092" customWidth="1"/>
    <col min="7939" max="7939" width="3.75" style="1092" customWidth="1"/>
    <col min="7940" max="7940" width="4.625" style="1092" customWidth="1"/>
    <col min="7941" max="7941" width="10.75" style="1092" customWidth="1"/>
    <col min="7942" max="7942" width="2.875" style="1092" customWidth="1"/>
    <col min="7943" max="7943" width="10" style="1092" customWidth="1"/>
    <col min="7944" max="7944" width="3.375" style="1092" customWidth="1"/>
    <col min="7945" max="7945" width="8.125" style="1092" customWidth="1"/>
    <col min="7946" max="7946" width="3.25" style="1092" customWidth="1"/>
    <col min="7947" max="7947" width="6.375" style="1092" customWidth="1"/>
    <col min="7948" max="7948" width="3.25" style="1092" customWidth="1"/>
    <col min="7949" max="7949" width="6.625" style="1092" customWidth="1"/>
    <col min="7950" max="7950" width="2.75" style="1092" customWidth="1"/>
    <col min="7951" max="7951" width="14.25" style="1092" customWidth="1"/>
    <col min="7952" max="7952" width="3.5" style="1092" customWidth="1"/>
    <col min="7953" max="8192" width="9" style="1092"/>
    <col min="8193" max="8193" width="1.75" style="1092" customWidth="1"/>
    <col min="8194" max="8194" width="3" style="1092" customWidth="1"/>
    <col min="8195" max="8195" width="3.75" style="1092" customWidth="1"/>
    <col min="8196" max="8196" width="4.625" style="1092" customWidth="1"/>
    <col min="8197" max="8197" width="10.75" style="1092" customWidth="1"/>
    <col min="8198" max="8198" width="2.875" style="1092" customWidth="1"/>
    <col min="8199" max="8199" width="10" style="1092" customWidth="1"/>
    <col min="8200" max="8200" width="3.375" style="1092" customWidth="1"/>
    <col min="8201" max="8201" width="8.125" style="1092" customWidth="1"/>
    <col min="8202" max="8202" width="3.25" style="1092" customWidth="1"/>
    <col min="8203" max="8203" width="6.375" style="1092" customWidth="1"/>
    <col min="8204" max="8204" width="3.25" style="1092" customWidth="1"/>
    <col min="8205" max="8205" width="6.625" style="1092" customWidth="1"/>
    <col min="8206" max="8206" width="2.75" style="1092" customWidth="1"/>
    <col min="8207" max="8207" width="14.25" style="1092" customWidth="1"/>
    <col min="8208" max="8208" width="3.5" style="1092" customWidth="1"/>
    <col min="8209" max="8448" width="9" style="1092"/>
    <col min="8449" max="8449" width="1.75" style="1092" customWidth="1"/>
    <col min="8450" max="8450" width="3" style="1092" customWidth="1"/>
    <col min="8451" max="8451" width="3.75" style="1092" customWidth="1"/>
    <col min="8452" max="8452" width="4.625" style="1092" customWidth="1"/>
    <col min="8453" max="8453" width="10.75" style="1092" customWidth="1"/>
    <col min="8454" max="8454" width="2.875" style="1092" customWidth="1"/>
    <col min="8455" max="8455" width="10" style="1092" customWidth="1"/>
    <col min="8456" max="8456" width="3.375" style="1092" customWidth="1"/>
    <col min="8457" max="8457" width="8.125" style="1092" customWidth="1"/>
    <col min="8458" max="8458" width="3.25" style="1092" customWidth="1"/>
    <col min="8459" max="8459" width="6.375" style="1092" customWidth="1"/>
    <col min="8460" max="8460" width="3.25" style="1092" customWidth="1"/>
    <col min="8461" max="8461" width="6.625" style="1092" customWidth="1"/>
    <col min="8462" max="8462" width="2.75" style="1092" customWidth="1"/>
    <col min="8463" max="8463" width="14.25" style="1092" customWidth="1"/>
    <col min="8464" max="8464" width="3.5" style="1092" customWidth="1"/>
    <col min="8465" max="8704" width="9" style="1092"/>
    <col min="8705" max="8705" width="1.75" style="1092" customWidth="1"/>
    <col min="8706" max="8706" width="3" style="1092" customWidth="1"/>
    <col min="8707" max="8707" width="3.75" style="1092" customWidth="1"/>
    <col min="8708" max="8708" width="4.625" style="1092" customWidth="1"/>
    <col min="8709" max="8709" width="10.75" style="1092" customWidth="1"/>
    <col min="8710" max="8710" width="2.875" style="1092" customWidth="1"/>
    <col min="8711" max="8711" width="10" style="1092" customWidth="1"/>
    <col min="8712" max="8712" width="3.375" style="1092" customWidth="1"/>
    <col min="8713" max="8713" width="8.125" style="1092" customWidth="1"/>
    <col min="8714" max="8714" width="3.25" style="1092" customWidth="1"/>
    <col min="8715" max="8715" width="6.375" style="1092" customWidth="1"/>
    <col min="8716" max="8716" width="3.25" style="1092" customWidth="1"/>
    <col min="8717" max="8717" width="6.625" style="1092" customWidth="1"/>
    <col min="8718" max="8718" width="2.75" style="1092" customWidth="1"/>
    <col min="8719" max="8719" width="14.25" style="1092" customWidth="1"/>
    <col min="8720" max="8720" width="3.5" style="1092" customWidth="1"/>
    <col min="8721" max="8960" width="9" style="1092"/>
    <col min="8961" max="8961" width="1.75" style="1092" customWidth="1"/>
    <col min="8962" max="8962" width="3" style="1092" customWidth="1"/>
    <col min="8963" max="8963" width="3.75" style="1092" customWidth="1"/>
    <col min="8964" max="8964" width="4.625" style="1092" customWidth="1"/>
    <col min="8965" max="8965" width="10.75" style="1092" customWidth="1"/>
    <col min="8966" max="8966" width="2.875" style="1092" customWidth="1"/>
    <col min="8967" max="8967" width="10" style="1092" customWidth="1"/>
    <col min="8968" max="8968" width="3.375" style="1092" customWidth="1"/>
    <col min="8969" max="8969" width="8.125" style="1092" customWidth="1"/>
    <col min="8970" max="8970" width="3.25" style="1092" customWidth="1"/>
    <col min="8971" max="8971" width="6.375" style="1092" customWidth="1"/>
    <col min="8972" max="8972" width="3.25" style="1092" customWidth="1"/>
    <col min="8973" max="8973" width="6.625" style="1092" customWidth="1"/>
    <col min="8974" max="8974" width="2.75" style="1092" customWidth="1"/>
    <col min="8975" max="8975" width="14.25" style="1092" customWidth="1"/>
    <col min="8976" max="8976" width="3.5" style="1092" customWidth="1"/>
    <col min="8977" max="9216" width="9" style="1092"/>
    <col min="9217" max="9217" width="1.75" style="1092" customWidth="1"/>
    <col min="9218" max="9218" width="3" style="1092" customWidth="1"/>
    <col min="9219" max="9219" width="3.75" style="1092" customWidth="1"/>
    <col min="9220" max="9220" width="4.625" style="1092" customWidth="1"/>
    <col min="9221" max="9221" width="10.75" style="1092" customWidth="1"/>
    <col min="9222" max="9222" width="2.875" style="1092" customWidth="1"/>
    <col min="9223" max="9223" width="10" style="1092" customWidth="1"/>
    <col min="9224" max="9224" width="3.375" style="1092" customWidth="1"/>
    <col min="9225" max="9225" width="8.125" style="1092" customWidth="1"/>
    <col min="9226" max="9226" width="3.25" style="1092" customWidth="1"/>
    <col min="9227" max="9227" width="6.375" style="1092" customWidth="1"/>
    <col min="9228" max="9228" width="3.25" style="1092" customWidth="1"/>
    <col min="9229" max="9229" width="6.625" style="1092" customWidth="1"/>
    <col min="9230" max="9230" width="2.75" style="1092" customWidth="1"/>
    <col min="9231" max="9231" width="14.25" style="1092" customWidth="1"/>
    <col min="9232" max="9232" width="3.5" style="1092" customWidth="1"/>
    <col min="9233" max="9472" width="9" style="1092"/>
    <col min="9473" max="9473" width="1.75" style="1092" customWidth="1"/>
    <col min="9474" max="9474" width="3" style="1092" customWidth="1"/>
    <col min="9475" max="9475" width="3.75" style="1092" customWidth="1"/>
    <col min="9476" max="9476" width="4.625" style="1092" customWidth="1"/>
    <col min="9477" max="9477" width="10.75" style="1092" customWidth="1"/>
    <col min="9478" max="9478" width="2.875" style="1092" customWidth="1"/>
    <col min="9479" max="9479" width="10" style="1092" customWidth="1"/>
    <col min="9480" max="9480" width="3.375" style="1092" customWidth="1"/>
    <col min="9481" max="9481" width="8.125" style="1092" customWidth="1"/>
    <col min="9482" max="9482" width="3.25" style="1092" customWidth="1"/>
    <col min="9483" max="9483" width="6.375" style="1092" customWidth="1"/>
    <col min="9484" max="9484" width="3.25" style="1092" customWidth="1"/>
    <col min="9485" max="9485" width="6.625" style="1092" customWidth="1"/>
    <col min="9486" max="9486" width="2.75" style="1092" customWidth="1"/>
    <col min="9487" max="9487" width="14.25" style="1092" customWidth="1"/>
    <col min="9488" max="9488" width="3.5" style="1092" customWidth="1"/>
    <col min="9489" max="9728" width="9" style="1092"/>
    <col min="9729" max="9729" width="1.75" style="1092" customWidth="1"/>
    <col min="9730" max="9730" width="3" style="1092" customWidth="1"/>
    <col min="9731" max="9731" width="3.75" style="1092" customWidth="1"/>
    <col min="9732" max="9732" width="4.625" style="1092" customWidth="1"/>
    <col min="9733" max="9733" width="10.75" style="1092" customWidth="1"/>
    <col min="9734" max="9734" width="2.875" style="1092" customWidth="1"/>
    <col min="9735" max="9735" width="10" style="1092" customWidth="1"/>
    <col min="9736" max="9736" width="3.375" style="1092" customWidth="1"/>
    <col min="9737" max="9737" width="8.125" style="1092" customWidth="1"/>
    <col min="9738" max="9738" width="3.25" style="1092" customWidth="1"/>
    <col min="9739" max="9739" width="6.375" style="1092" customWidth="1"/>
    <col min="9740" max="9740" width="3.25" style="1092" customWidth="1"/>
    <col min="9741" max="9741" width="6.625" style="1092" customWidth="1"/>
    <col min="9742" max="9742" width="2.75" style="1092" customWidth="1"/>
    <col min="9743" max="9743" width="14.25" style="1092" customWidth="1"/>
    <col min="9744" max="9744" width="3.5" style="1092" customWidth="1"/>
    <col min="9745" max="9984" width="9" style="1092"/>
    <col min="9985" max="9985" width="1.75" style="1092" customWidth="1"/>
    <col min="9986" max="9986" width="3" style="1092" customWidth="1"/>
    <col min="9987" max="9987" width="3.75" style="1092" customWidth="1"/>
    <col min="9988" max="9988" width="4.625" style="1092" customWidth="1"/>
    <col min="9989" max="9989" width="10.75" style="1092" customWidth="1"/>
    <col min="9990" max="9990" width="2.875" style="1092" customWidth="1"/>
    <col min="9991" max="9991" width="10" style="1092" customWidth="1"/>
    <col min="9992" max="9992" width="3.375" style="1092" customWidth="1"/>
    <col min="9993" max="9993" width="8.125" style="1092" customWidth="1"/>
    <col min="9994" max="9994" width="3.25" style="1092" customWidth="1"/>
    <col min="9995" max="9995" width="6.375" style="1092" customWidth="1"/>
    <col min="9996" max="9996" width="3.25" style="1092" customWidth="1"/>
    <col min="9997" max="9997" width="6.625" style="1092" customWidth="1"/>
    <col min="9998" max="9998" width="2.75" style="1092" customWidth="1"/>
    <col min="9999" max="9999" width="14.25" style="1092" customWidth="1"/>
    <col min="10000" max="10000" width="3.5" style="1092" customWidth="1"/>
    <col min="10001" max="10240" width="9" style="1092"/>
    <col min="10241" max="10241" width="1.75" style="1092" customWidth="1"/>
    <col min="10242" max="10242" width="3" style="1092" customWidth="1"/>
    <col min="10243" max="10243" width="3.75" style="1092" customWidth="1"/>
    <col min="10244" max="10244" width="4.625" style="1092" customWidth="1"/>
    <col min="10245" max="10245" width="10.75" style="1092" customWidth="1"/>
    <col min="10246" max="10246" width="2.875" style="1092" customWidth="1"/>
    <col min="10247" max="10247" width="10" style="1092" customWidth="1"/>
    <col min="10248" max="10248" width="3.375" style="1092" customWidth="1"/>
    <col min="10249" max="10249" width="8.125" style="1092" customWidth="1"/>
    <col min="10250" max="10250" width="3.25" style="1092" customWidth="1"/>
    <col min="10251" max="10251" width="6.375" style="1092" customWidth="1"/>
    <col min="10252" max="10252" width="3.25" style="1092" customWidth="1"/>
    <col min="10253" max="10253" width="6.625" style="1092" customWidth="1"/>
    <col min="10254" max="10254" width="2.75" style="1092" customWidth="1"/>
    <col min="10255" max="10255" width="14.25" style="1092" customWidth="1"/>
    <col min="10256" max="10256" width="3.5" style="1092" customWidth="1"/>
    <col min="10257" max="10496" width="9" style="1092"/>
    <col min="10497" max="10497" width="1.75" style="1092" customWidth="1"/>
    <col min="10498" max="10498" width="3" style="1092" customWidth="1"/>
    <col min="10499" max="10499" width="3.75" style="1092" customWidth="1"/>
    <col min="10500" max="10500" width="4.625" style="1092" customWidth="1"/>
    <col min="10501" max="10501" width="10.75" style="1092" customWidth="1"/>
    <col min="10502" max="10502" width="2.875" style="1092" customWidth="1"/>
    <col min="10503" max="10503" width="10" style="1092" customWidth="1"/>
    <col min="10504" max="10504" width="3.375" style="1092" customWidth="1"/>
    <col min="10505" max="10505" width="8.125" style="1092" customWidth="1"/>
    <col min="10506" max="10506" width="3.25" style="1092" customWidth="1"/>
    <col min="10507" max="10507" width="6.375" style="1092" customWidth="1"/>
    <col min="10508" max="10508" width="3.25" style="1092" customWidth="1"/>
    <col min="10509" max="10509" width="6.625" style="1092" customWidth="1"/>
    <col min="10510" max="10510" width="2.75" style="1092" customWidth="1"/>
    <col min="10511" max="10511" width="14.25" style="1092" customWidth="1"/>
    <col min="10512" max="10512" width="3.5" style="1092" customWidth="1"/>
    <col min="10513" max="10752" width="9" style="1092"/>
    <col min="10753" max="10753" width="1.75" style="1092" customWidth="1"/>
    <col min="10754" max="10754" width="3" style="1092" customWidth="1"/>
    <col min="10755" max="10755" width="3.75" style="1092" customWidth="1"/>
    <col min="10756" max="10756" width="4.625" style="1092" customWidth="1"/>
    <col min="10757" max="10757" width="10.75" style="1092" customWidth="1"/>
    <col min="10758" max="10758" width="2.875" style="1092" customWidth="1"/>
    <col min="10759" max="10759" width="10" style="1092" customWidth="1"/>
    <col min="10760" max="10760" width="3.375" style="1092" customWidth="1"/>
    <col min="10761" max="10761" width="8.125" style="1092" customWidth="1"/>
    <col min="10762" max="10762" width="3.25" style="1092" customWidth="1"/>
    <col min="10763" max="10763" width="6.375" style="1092" customWidth="1"/>
    <col min="10764" max="10764" width="3.25" style="1092" customWidth="1"/>
    <col min="10765" max="10765" width="6.625" style="1092" customWidth="1"/>
    <col min="10766" max="10766" width="2.75" style="1092" customWidth="1"/>
    <col min="10767" max="10767" width="14.25" style="1092" customWidth="1"/>
    <col min="10768" max="10768" width="3.5" style="1092" customWidth="1"/>
    <col min="10769" max="11008" width="9" style="1092"/>
    <col min="11009" max="11009" width="1.75" style="1092" customWidth="1"/>
    <col min="11010" max="11010" width="3" style="1092" customWidth="1"/>
    <col min="11011" max="11011" width="3.75" style="1092" customWidth="1"/>
    <col min="11012" max="11012" width="4.625" style="1092" customWidth="1"/>
    <col min="11013" max="11013" width="10.75" style="1092" customWidth="1"/>
    <col min="11014" max="11014" width="2.875" style="1092" customWidth="1"/>
    <col min="11015" max="11015" width="10" style="1092" customWidth="1"/>
    <col min="11016" max="11016" width="3.375" style="1092" customWidth="1"/>
    <col min="11017" max="11017" width="8.125" style="1092" customWidth="1"/>
    <col min="11018" max="11018" width="3.25" style="1092" customWidth="1"/>
    <col min="11019" max="11019" width="6.375" style="1092" customWidth="1"/>
    <col min="11020" max="11020" width="3.25" style="1092" customWidth="1"/>
    <col min="11021" max="11021" width="6.625" style="1092" customWidth="1"/>
    <col min="11022" max="11022" width="2.75" style="1092" customWidth="1"/>
    <col min="11023" max="11023" width="14.25" style="1092" customWidth="1"/>
    <col min="11024" max="11024" width="3.5" style="1092" customWidth="1"/>
    <col min="11025" max="11264" width="9" style="1092"/>
    <col min="11265" max="11265" width="1.75" style="1092" customWidth="1"/>
    <col min="11266" max="11266" width="3" style="1092" customWidth="1"/>
    <col min="11267" max="11267" width="3.75" style="1092" customWidth="1"/>
    <col min="11268" max="11268" width="4.625" style="1092" customWidth="1"/>
    <col min="11269" max="11269" width="10.75" style="1092" customWidth="1"/>
    <col min="11270" max="11270" width="2.875" style="1092" customWidth="1"/>
    <col min="11271" max="11271" width="10" style="1092" customWidth="1"/>
    <col min="11272" max="11272" width="3.375" style="1092" customWidth="1"/>
    <col min="11273" max="11273" width="8.125" style="1092" customWidth="1"/>
    <col min="11274" max="11274" width="3.25" style="1092" customWidth="1"/>
    <col min="11275" max="11275" width="6.375" style="1092" customWidth="1"/>
    <col min="11276" max="11276" width="3.25" style="1092" customWidth="1"/>
    <col min="11277" max="11277" width="6.625" style="1092" customWidth="1"/>
    <col min="11278" max="11278" width="2.75" style="1092" customWidth="1"/>
    <col min="11279" max="11279" width="14.25" style="1092" customWidth="1"/>
    <col min="11280" max="11280" width="3.5" style="1092" customWidth="1"/>
    <col min="11281" max="11520" width="9" style="1092"/>
    <col min="11521" max="11521" width="1.75" style="1092" customWidth="1"/>
    <col min="11522" max="11522" width="3" style="1092" customWidth="1"/>
    <col min="11523" max="11523" width="3.75" style="1092" customWidth="1"/>
    <col min="11524" max="11524" width="4.625" style="1092" customWidth="1"/>
    <col min="11525" max="11525" width="10.75" style="1092" customWidth="1"/>
    <col min="11526" max="11526" width="2.875" style="1092" customWidth="1"/>
    <col min="11527" max="11527" width="10" style="1092" customWidth="1"/>
    <col min="11528" max="11528" width="3.375" style="1092" customWidth="1"/>
    <col min="11529" max="11529" width="8.125" style="1092" customWidth="1"/>
    <col min="11530" max="11530" width="3.25" style="1092" customWidth="1"/>
    <col min="11531" max="11531" width="6.375" style="1092" customWidth="1"/>
    <col min="11532" max="11532" width="3.25" style="1092" customWidth="1"/>
    <col min="11533" max="11533" width="6.625" style="1092" customWidth="1"/>
    <col min="11534" max="11534" width="2.75" style="1092" customWidth="1"/>
    <col min="11535" max="11535" width="14.25" style="1092" customWidth="1"/>
    <col min="11536" max="11536" width="3.5" style="1092" customWidth="1"/>
    <col min="11537" max="11776" width="9" style="1092"/>
    <col min="11777" max="11777" width="1.75" style="1092" customWidth="1"/>
    <col min="11778" max="11778" width="3" style="1092" customWidth="1"/>
    <col min="11779" max="11779" width="3.75" style="1092" customWidth="1"/>
    <col min="11780" max="11780" width="4.625" style="1092" customWidth="1"/>
    <col min="11781" max="11781" width="10.75" style="1092" customWidth="1"/>
    <col min="11782" max="11782" width="2.875" style="1092" customWidth="1"/>
    <col min="11783" max="11783" width="10" style="1092" customWidth="1"/>
    <col min="11784" max="11784" width="3.375" style="1092" customWidth="1"/>
    <col min="11785" max="11785" width="8.125" style="1092" customWidth="1"/>
    <col min="11786" max="11786" width="3.25" style="1092" customWidth="1"/>
    <col min="11787" max="11787" width="6.375" style="1092" customWidth="1"/>
    <col min="11788" max="11788" width="3.25" style="1092" customWidth="1"/>
    <col min="11789" max="11789" width="6.625" style="1092" customWidth="1"/>
    <col min="11790" max="11790" width="2.75" style="1092" customWidth="1"/>
    <col min="11791" max="11791" width="14.25" style="1092" customWidth="1"/>
    <col min="11792" max="11792" width="3.5" style="1092" customWidth="1"/>
    <col min="11793" max="12032" width="9" style="1092"/>
    <col min="12033" max="12033" width="1.75" style="1092" customWidth="1"/>
    <col min="12034" max="12034" width="3" style="1092" customWidth="1"/>
    <col min="12035" max="12035" width="3.75" style="1092" customWidth="1"/>
    <col min="12036" max="12036" width="4.625" style="1092" customWidth="1"/>
    <col min="12037" max="12037" width="10.75" style="1092" customWidth="1"/>
    <col min="12038" max="12038" width="2.875" style="1092" customWidth="1"/>
    <col min="12039" max="12039" width="10" style="1092" customWidth="1"/>
    <col min="12040" max="12040" width="3.375" style="1092" customWidth="1"/>
    <col min="12041" max="12041" width="8.125" style="1092" customWidth="1"/>
    <col min="12042" max="12042" width="3.25" style="1092" customWidth="1"/>
    <col min="12043" max="12043" width="6.375" style="1092" customWidth="1"/>
    <col min="12044" max="12044" width="3.25" style="1092" customWidth="1"/>
    <col min="12045" max="12045" width="6.625" style="1092" customWidth="1"/>
    <col min="12046" max="12046" width="2.75" style="1092" customWidth="1"/>
    <col min="12047" max="12047" width="14.25" style="1092" customWidth="1"/>
    <col min="12048" max="12048" width="3.5" style="1092" customWidth="1"/>
    <col min="12049" max="12288" width="9" style="1092"/>
    <col min="12289" max="12289" width="1.75" style="1092" customWidth="1"/>
    <col min="12290" max="12290" width="3" style="1092" customWidth="1"/>
    <col min="12291" max="12291" width="3.75" style="1092" customWidth="1"/>
    <col min="12292" max="12292" width="4.625" style="1092" customWidth="1"/>
    <col min="12293" max="12293" width="10.75" style="1092" customWidth="1"/>
    <col min="12294" max="12294" width="2.875" style="1092" customWidth="1"/>
    <col min="12295" max="12295" width="10" style="1092" customWidth="1"/>
    <col min="12296" max="12296" width="3.375" style="1092" customWidth="1"/>
    <col min="12297" max="12297" width="8.125" style="1092" customWidth="1"/>
    <col min="12298" max="12298" width="3.25" style="1092" customWidth="1"/>
    <col min="12299" max="12299" width="6.375" style="1092" customWidth="1"/>
    <col min="12300" max="12300" width="3.25" style="1092" customWidth="1"/>
    <col min="12301" max="12301" width="6.625" style="1092" customWidth="1"/>
    <col min="12302" max="12302" width="2.75" style="1092" customWidth="1"/>
    <col min="12303" max="12303" width="14.25" style="1092" customWidth="1"/>
    <col min="12304" max="12304" width="3.5" style="1092" customWidth="1"/>
    <col min="12305" max="12544" width="9" style="1092"/>
    <col min="12545" max="12545" width="1.75" style="1092" customWidth="1"/>
    <col min="12546" max="12546" width="3" style="1092" customWidth="1"/>
    <col min="12547" max="12547" width="3.75" style="1092" customWidth="1"/>
    <col min="12548" max="12548" width="4.625" style="1092" customWidth="1"/>
    <col min="12549" max="12549" width="10.75" style="1092" customWidth="1"/>
    <col min="12550" max="12550" width="2.875" style="1092" customWidth="1"/>
    <col min="12551" max="12551" width="10" style="1092" customWidth="1"/>
    <col min="12552" max="12552" width="3.375" style="1092" customWidth="1"/>
    <col min="12553" max="12553" width="8.125" style="1092" customWidth="1"/>
    <col min="12554" max="12554" width="3.25" style="1092" customWidth="1"/>
    <col min="12555" max="12555" width="6.375" style="1092" customWidth="1"/>
    <col min="12556" max="12556" width="3.25" style="1092" customWidth="1"/>
    <col min="12557" max="12557" width="6.625" style="1092" customWidth="1"/>
    <col min="12558" max="12558" width="2.75" style="1092" customWidth="1"/>
    <col min="12559" max="12559" width="14.25" style="1092" customWidth="1"/>
    <col min="12560" max="12560" width="3.5" style="1092" customWidth="1"/>
    <col min="12561" max="12800" width="9" style="1092"/>
    <col min="12801" max="12801" width="1.75" style="1092" customWidth="1"/>
    <col min="12802" max="12802" width="3" style="1092" customWidth="1"/>
    <col min="12803" max="12803" width="3.75" style="1092" customWidth="1"/>
    <col min="12804" max="12804" width="4.625" style="1092" customWidth="1"/>
    <col min="12805" max="12805" width="10.75" style="1092" customWidth="1"/>
    <col min="12806" max="12806" width="2.875" style="1092" customWidth="1"/>
    <col min="12807" max="12807" width="10" style="1092" customWidth="1"/>
    <col min="12808" max="12808" width="3.375" style="1092" customWidth="1"/>
    <col min="12809" max="12809" width="8.125" style="1092" customWidth="1"/>
    <col min="12810" max="12810" width="3.25" style="1092" customWidth="1"/>
    <col min="12811" max="12811" width="6.375" style="1092" customWidth="1"/>
    <col min="12812" max="12812" width="3.25" style="1092" customWidth="1"/>
    <col min="12813" max="12813" width="6.625" style="1092" customWidth="1"/>
    <col min="12814" max="12814" width="2.75" style="1092" customWidth="1"/>
    <col min="12815" max="12815" width="14.25" style="1092" customWidth="1"/>
    <col min="12816" max="12816" width="3.5" style="1092" customWidth="1"/>
    <col min="12817" max="13056" width="9" style="1092"/>
    <col min="13057" max="13057" width="1.75" style="1092" customWidth="1"/>
    <col min="13058" max="13058" width="3" style="1092" customWidth="1"/>
    <col min="13059" max="13059" width="3.75" style="1092" customWidth="1"/>
    <col min="13060" max="13060" width="4.625" style="1092" customWidth="1"/>
    <col min="13061" max="13061" width="10.75" style="1092" customWidth="1"/>
    <col min="13062" max="13062" width="2.875" style="1092" customWidth="1"/>
    <col min="13063" max="13063" width="10" style="1092" customWidth="1"/>
    <col min="13064" max="13064" width="3.375" style="1092" customWidth="1"/>
    <col min="13065" max="13065" width="8.125" style="1092" customWidth="1"/>
    <col min="13066" max="13066" width="3.25" style="1092" customWidth="1"/>
    <col min="13067" max="13067" width="6.375" style="1092" customWidth="1"/>
    <col min="13068" max="13068" width="3.25" style="1092" customWidth="1"/>
    <col min="13069" max="13069" width="6.625" style="1092" customWidth="1"/>
    <col min="13070" max="13070" width="2.75" style="1092" customWidth="1"/>
    <col min="13071" max="13071" width="14.25" style="1092" customWidth="1"/>
    <col min="13072" max="13072" width="3.5" style="1092" customWidth="1"/>
    <col min="13073" max="13312" width="9" style="1092"/>
    <col min="13313" max="13313" width="1.75" style="1092" customWidth="1"/>
    <col min="13314" max="13314" width="3" style="1092" customWidth="1"/>
    <col min="13315" max="13315" width="3.75" style="1092" customWidth="1"/>
    <col min="13316" max="13316" width="4.625" style="1092" customWidth="1"/>
    <col min="13317" max="13317" width="10.75" style="1092" customWidth="1"/>
    <col min="13318" max="13318" width="2.875" style="1092" customWidth="1"/>
    <col min="13319" max="13319" width="10" style="1092" customWidth="1"/>
    <col min="13320" max="13320" width="3.375" style="1092" customWidth="1"/>
    <col min="13321" max="13321" width="8.125" style="1092" customWidth="1"/>
    <col min="13322" max="13322" width="3.25" style="1092" customWidth="1"/>
    <col min="13323" max="13323" width="6.375" style="1092" customWidth="1"/>
    <col min="13324" max="13324" width="3.25" style="1092" customWidth="1"/>
    <col min="13325" max="13325" width="6.625" style="1092" customWidth="1"/>
    <col min="13326" max="13326" width="2.75" style="1092" customWidth="1"/>
    <col min="13327" max="13327" width="14.25" style="1092" customWidth="1"/>
    <col min="13328" max="13328" width="3.5" style="1092" customWidth="1"/>
    <col min="13329" max="13568" width="9" style="1092"/>
    <col min="13569" max="13569" width="1.75" style="1092" customWidth="1"/>
    <col min="13570" max="13570" width="3" style="1092" customWidth="1"/>
    <col min="13571" max="13571" width="3.75" style="1092" customWidth="1"/>
    <col min="13572" max="13572" width="4.625" style="1092" customWidth="1"/>
    <col min="13573" max="13573" width="10.75" style="1092" customWidth="1"/>
    <col min="13574" max="13574" width="2.875" style="1092" customWidth="1"/>
    <col min="13575" max="13575" width="10" style="1092" customWidth="1"/>
    <col min="13576" max="13576" width="3.375" style="1092" customWidth="1"/>
    <col min="13577" max="13577" width="8.125" style="1092" customWidth="1"/>
    <col min="13578" max="13578" width="3.25" style="1092" customWidth="1"/>
    <col min="13579" max="13579" width="6.375" style="1092" customWidth="1"/>
    <col min="13580" max="13580" width="3.25" style="1092" customWidth="1"/>
    <col min="13581" max="13581" width="6.625" style="1092" customWidth="1"/>
    <col min="13582" max="13582" width="2.75" style="1092" customWidth="1"/>
    <col min="13583" max="13583" width="14.25" style="1092" customWidth="1"/>
    <col min="13584" max="13584" width="3.5" style="1092" customWidth="1"/>
    <col min="13585" max="13824" width="9" style="1092"/>
    <col min="13825" max="13825" width="1.75" style="1092" customWidth="1"/>
    <col min="13826" max="13826" width="3" style="1092" customWidth="1"/>
    <col min="13827" max="13827" width="3.75" style="1092" customWidth="1"/>
    <col min="13828" max="13828" width="4.625" style="1092" customWidth="1"/>
    <col min="13829" max="13829" width="10.75" style="1092" customWidth="1"/>
    <col min="13830" max="13830" width="2.875" style="1092" customWidth="1"/>
    <col min="13831" max="13831" width="10" style="1092" customWidth="1"/>
    <col min="13832" max="13832" width="3.375" style="1092" customWidth="1"/>
    <col min="13833" max="13833" width="8.125" style="1092" customWidth="1"/>
    <col min="13834" max="13834" width="3.25" style="1092" customWidth="1"/>
    <col min="13835" max="13835" width="6.375" style="1092" customWidth="1"/>
    <col min="13836" max="13836" width="3.25" style="1092" customWidth="1"/>
    <col min="13837" max="13837" width="6.625" style="1092" customWidth="1"/>
    <col min="13838" max="13838" width="2.75" style="1092" customWidth="1"/>
    <col min="13839" max="13839" width="14.25" style="1092" customWidth="1"/>
    <col min="13840" max="13840" width="3.5" style="1092" customWidth="1"/>
    <col min="13841" max="14080" width="9" style="1092"/>
    <col min="14081" max="14081" width="1.75" style="1092" customWidth="1"/>
    <col min="14082" max="14082" width="3" style="1092" customWidth="1"/>
    <col min="14083" max="14083" width="3.75" style="1092" customWidth="1"/>
    <col min="14084" max="14084" width="4.625" style="1092" customWidth="1"/>
    <col min="14085" max="14085" width="10.75" style="1092" customWidth="1"/>
    <col min="14086" max="14086" width="2.875" style="1092" customWidth="1"/>
    <col min="14087" max="14087" width="10" style="1092" customWidth="1"/>
    <col min="14088" max="14088" width="3.375" style="1092" customWidth="1"/>
    <col min="14089" max="14089" width="8.125" style="1092" customWidth="1"/>
    <col min="14090" max="14090" width="3.25" style="1092" customWidth="1"/>
    <col min="14091" max="14091" width="6.375" style="1092" customWidth="1"/>
    <col min="14092" max="14092" width="3.25" style="1092" customWidth="1"/>
    <col min="14093" max="14093" width="6.625" style="1092" customWidth="1"/>
    <col min="14094" max="14094" width="2.75" style="1092" customWidth="1"/>
    <col min="14095" max="14095" width="14.25" style="1092" customWidth="1"/>
    <col min="14096" max="14096" width="3.5" style="1092" customWidth="1"/>
    <col min="14097" max="14336" width="9" style="1092"/>
    <col min="14337" max="14337" width="1.75" style="1092" customWidth="1"/>
    <col min="14338" max="14338" width="3" style="1092" customWidth="1"/>
    <col min="14339" max="14339" width="3.75" style="1092" customWidth="1"/>
    <col min="14340" max="14340" width="4.625" style="1092" customWidth="1"/>
    <col min="14341" max="14341" width="10.75" style="1092" customWidth="1"/>
    <col min="14342" max="14342" width="2.875" style="1092" customWidth="1"/>
    <col min="14343" max="14343" width="10" style="1092" customWidth="1"/>
    <col min="14344" max="14344" width="3.375" style="1092" customWidth="1"/>
    <col min="14345" max="14345" width="8.125" style="1092" customWidth="1"/>
    <col min="14346" max="14346" width="3.25" style="1092" customWidth="1"/>
    <col min="14347" max="14347" width="6.375" style="1092" customWidth="1"/>
    <col min="14348" max="14348" width="3.25" style="1092" customWidth="1"/>
    <col min="14349" max="14349" width="6.625" style="1092" customWidth="1"/>
    <col min="14350" max="14350" width="2.75" style="1092" customWidth="1"/>
    <col min="14351" max="14351" width="14.25" style="1092" customWidth="1"/>
    <col min="14352" max="14352" width="3.5" style="1092" customWidth="1"/>
    <col min="14353" max="14592" width="9" style="1092"/>
    <col min="14593" max="14593" width="1.75" style="1092" customWidth="1"/>
    <col min="14594" max="14594" width="3" style="1092" customWidth="1"/>
    <col min="14595" max="14595" width="3.75" style="1092" customWidth="1"/>
    <col min="14596" max="14596" width="4.625" style="1092" customWidth="1"/>
    <col min="14597" max="14597" width="10.75" style="1092" customWidth="1"/>
    <col min="14598" max="14598" width="2.875" style="1092" customWidth="1"/>
    <col min="14599" max="14599" width="10" style="1092" customWidth="1"/>
    <col min="14600" max="14600" width="3.375" style="1092" customWidth="1"/>
    <col min="14601" max="14601" width="8.125" style="1092" customWidth="1"/>
    <col min="14602" max="14602" width="3.25" style="1092" customWidth="1"/>
    <col min="14603" max="14603" width="6.375" style="1092" customWidth="1"/>
    <col min="14604" max="14604" width="3.25" style="1092" customWidth="1"/>
    <col min="14605" max="14605" width="6.625" style="1092" customWidth="1"/>
    <col min="14606" max="14606" width="2.75" style="1092" customWidth="1"/>
    <col min="14607" max="14607" width="14.25" style="1092" customWidth="1"/>
    <col min="14608" max="14608" width="3.5" style="1092" customWidth="1"/>
    <col min="14609" max="14848" width="9" style="1092"/>
    <col min="14849" max="14849" width="1.75" style="1092" customWidth="1"/>
    <col min="14850" max="14850" width="3" style="1092" customWidth="1"/>
    <col min="14851" max="14851" width="3.75" style="1092" customWidth="1"/>
    <col min="14852" max="14852" width="4.625" style="1092" customWidth="1"/>
    <col min="14853" max="14853" width="10.75" style="1092" customWidth="1"/>
    <col min="14854" max="14854" width="2.875" style="1092" customWidth="1"/>
    <col min="14855" max="14855" width="10" style="1092" customWidth="1"/>
    <col min="14856" max="14856" width="3.375" style="1092" customWidth="1"/>
    <col min="14857" max="14857" width="8.125" style="1092" customWidth="1"/>
    <col min="14858" max="14858" width="3.25" style="1092" customWidth="1"/>
    <col min="14859" max="14859" width="6.375" style="1092" customWidth="1"/>
    <col min="14860" max="14860" width="3.25" style="1092" customWidth="1"/>
    <col min="14861" max="14861" width="6.625" style="1092" customWidth="1"/>
    <col min="14862" max="14862" width="2.75" style="1092" customWidth="1"/>
    <col min="14863" max="14863" width="14.25" style="1092" customWidth="1"/>
    <col min="14864" max="14864" width="3.5" style="1092" customWidth="1"/>
    <col min="14865" max="15104" width="9" style="1092"/>
    <col min="15105" max="15105" width="1.75" style="1092" customWidth="1"/>
    <col min="15106" max="15106" width="3" style="1092" customWidth="1"/>
    <col min="15107" max="15107" width="3.75" style="1092" customWidth="1"/>
    <col min="15108" max="15108" width="4.625" style="1092" customWidth="1"/>
    <col min="15109" max="15109" width="10.75" style="1092" customWidth="1"/>
    <col min="15110" max="15110" width="2.875" style="1092" customWidth="1"/>
    <col min="15111" max="15111" width="10" style="1092" customWidth="1"/>
    <col min="15112" max="15112" width="3.375" style="1092" customWidth="1"/>
    <col min="15113" max="15113" width="8.125" style="1092" customWidth="1"/>
    <col min="15114" max="15114" width="3.25" style="1092" customWidth="1"/>
    <col min="15115" max="15115" width="6.375" style="1092" customWidth="1"/>
    <col min="15116" max="15116" width="3.25" style="1092" customWidth="1"/>
    <col min="15117" max="15117" width="6.625" style="1092" customWidth="1"/>
    <col min="15118" max="15118" width="2.75" style="1092" customWidth="1"/>
    <col min="15119" max="15119" width="14.25" style="1092" customWidth="1"/>
    <col min="15120" max="15120" width="3.5" style="1092" customWidth="1"/>
    <col min="15121" max="15360" width="9" style="1092"/>
    <col min="15361" max="15361" width="1.75" style="1092" customWidth="1"/>
    <col min="15362" max="15362" width="3" style="1092" customWidth="1"/>
    <col min="15363" max="15363" width="3.75" style="1092" customWidth="1"/>
    <col min="15364" max="15364" width="4.625" style="1092" customWidth="1"/>
    <col min="15365" max="15365" width="10.75" style="1092" customWidth="1"/>
    <col min="15366" max="15366" width="2.875" style="1092" customWidth="1"/>
    <col min="15367" max="15367" width="10" style="1092" customWidth="1"/>
    <col min="15368" max="15368" width="3.375" style="1092" customWidth="1"/>
    <col min="15369" max="15369" width="8.125" style="1092" customWidth="1"/>
    <col min="15370" max="15370" width="3.25" style="1092" customWidth="1"/>
    <col min="15371" max="15371" width="6.375" style="1092" customWidth="1"/>
    <col min="15372" max="15372" width="3.25" style="1092" customWidth="1"/>
    <col min="15373" max="15373" width="6.625" style="1092" customWidth="1"/>
    <col min="15374" max="15374" width="2.75" style="1092" customWidth="1"/>
    <col min="15375" max="15375" width="14.25" style="1092" customWidth="1"/>
    <col min="15376" max="15376" width="3.5" style="1092" customWidth="1"/>
    <col min="15377" max="15616" width="9" style="1092"/>
    <col min="15617" max="15617" width="1.75" style="1092" customWidth="1"/>
    <col min="15618" max="15618" width="3" style="1092" customWidth="1"/>
    <col min="15619" max="15619" width="3.75" style="1092" customWidth="1"/>
    <col min="15620" max="15620" width="4.625" style="1092" customWidth="1"/>
    <col min="15621" max="15621" width="10.75" style="1092" customWidth="1"/>
    <col min="15622" max="15622" width="2.875" style="1092" customWidth="1"/>
    <col min="15623" max="15623" width="10" style="1092" customWidth="1"/>
    <col min="15624" max="15624" width="3.375" style="1092" customWidth="1"/>
    <col min="15625" max="15625" width="8.125" style="1092" customWidth="1"/>
    <col min="15626" max="15626" width="3.25" style="1092" customWidth="1"/>
    <col min="15627" max="15627" width="6.375" style="1092" customWidth="1"/>
    <col min="15628" max="15628" width="3.25" style="1092" customWidth="1"/>
    <col min="15629" max="15629" width="6.625" style="1092" customWidth="1"/>
    <col min="15630" max="15630" width="2.75" style="1092" customWidth="1"/>
    <col min="15631" max="15631" width="14.25" style="1092" customWidth="1"/>
    <col min="15632" max="15632" width="3.5" style="1092" customWidth="1"/>
    <col min="15633" max="15872" width="9" style="1092"/>
    <col min="15873" max="15873" width="1.75" style="1092" customWidth="1"/>
    <col min="15874" max="15874" width="3" style="1092" customWidth="1"/>
    <col min="15875" max="15875" width="3.75" style="1092" customWidth="1"/>
    <col min="15876" max="15876" width="4.625" style="1092" customWidth="1"/>
    <col min="15877" max="15877" width="10.75" style="1092" customWidth="1"/>
    <col min="15878" max="15878" width="2.875" style="1092" customWidth="1"/>
    <col min="15879" max="15879" width="10" style="1092" customWidth="1"/>
    <col min="15880" max="15880" width="3.375" style="1092" customWidth="1"/>
    <col min="15881" max="15881" width="8.125" style="1092" customWidth="1"/>
    <col min="15882" max="15882" width="3.25" style="1092" customWidth="1"/>
    <col min="15883" max="15883" width="6.375" style="1092" customWidth="1"/>
    <col min="15884" max="15884" width="3.25" style="1092" customWidth="1"/>
    <col min="15885" max="15885" width="6.625" style="1092" customWidth="1"/>
    <col min="15886" max="15886" width="2.75" style="1092" customWidth="1"/>
    <col min="15887" max="15887" width="14.25" style="1092" customWidth="1"/>
    <col min="15888" max="15888" width="3.5" style="1092" customWidth="1"/>
    <col min="15889" max="16128" width="9" style="1092"/>
    <col min="16129" max="16129" width="1.75" style="1092" customWidth="1"/>
    <col min="16130" max="16130" width="3" style="1092" customWidth="1"/>
    <col min="16131" max="16131" width="3.75" style="1092" customWidth="1"/>
    <col min="16132" max="16132" width="4.625" style="1092" customWidth="1"/>
    <col min="16133" max="16133" width="10.75" style="1092" customWidth="1"/>
    <col min="16134" max="16134" width="2.875" style="1092" customWidth="1"/>
    <col min="16135" max="16135" width="10" style="1092" customWidth="1"/>
    <col min="16136" max="16136" width="3.375" style="1092" customWidth="1"/>
    <col min="16137" max="16137" width="8.125" style="1092" customWidth="1"/>
    <col min="16138" max="16138" width="3.25" style="1092" customWidth="1"/>
    <col min="16139" max="16139" width="6.375" style="1092" customWidth="1"/>
    <col min="16140" max="16140" width="3.25" style="1092" customWidth="1"/>
    <col min="16141" max="16141" width="6.625" style="1092" customWidth="1"/>
    <col min="16142" max="16142" width="2.75" style="1092" customWidth="1"/>
    <col min="16143" max="16143" width="14.25" style="1092" customWidth="1"/>
    <col min="16144" max="16144" width="3.5" style="1092" customWidth="1"/>
    <col min="16145" max="16384" width="9" style="1092"/>
  </cols>
  <sheetData>
    <row r="1" spans="1:16">
      <c r="A1" s="1089"/>
      <c r="B1" s="1090" t="s">
        <v>1235</v>
      </c>
      <c r="C1" s="1091"/>
      <c r="D1" s="1091"/>
      <c r="E1" s="1091"/>
      <c r="F1" s="1091"/>
      <c r="G1" s="1091"/>
      <c r="H1" s="1091"/>
      <c r="I1" s="1091"/>
      <c r="J1" s="1091"/>
      <c r="K1" s="1091"/>
      <c r="L1" s="1091"/>
      <c r="M1" s="1091"/>
      <c r="N1" s="1091"/>
      <c r="O1" s="1091"/>
      <c r="P1" s="1091"/>
    </row>
    <row r="2" spans="1:16" ht="17.25">
      <c r="A2" s="1089"/>
      <c r="B2" s="1093" t="s">
        <v>1236</v>
      </c>
      <c r="C2" s="1093"/>
      <c r="D2" s="1093"/>
      <c r="E2" s="1093"/>
      <c r="F2" s="1093"/>
      <c r="G2" s="1093"/>
      <c r="H2" s="1093"/>
      <c r="I2" s="1093"/>
      <c r="J2" s="1093"/>
      <c r="K2" s="1093"/>
      <c r="L2" s="1093"/>
      <c r="M2" s="1093"/>
      <c r="N2" s="1093"/>
      <c r="O2" s="1093"/>
      <c r="P2" s="1093"/>
    </row>
    <row r="3" spans="1:16">
      <c r="A3" s="1089"/>
      <c r="B3" s="2532" t="s">
        <v>1237</v>
      </c>
      <c r="C3" s="2533"/>
      <c r="D3" s="2533"/>
      <c r="E3" s="2533"/>
      <c r="F3" s="2533"/>
      <c r="G3" s="2533"/>
      <c r="H3" s="2533"/>
      <c r="I3" s="2533"/>
      <c r="J3" s="2533"/>
      <c r="K3" s="2533"/>
      <c r="L3" s="2533"/>
      <c r="M3" s="2534"/>
      <c r="N3" s="1091"/>
      <c r="O3" s="1091"/>
      <c r="P3" s="1091"/>
    </row>
    <row r="4" spans="1:16" ht="24" customHeight="1">
      <c r="A4" s="1089"/>
      <c r="B4" s="2535"/>
      <c r="C4" s="2536"/>
      <c r="D4" s="2536"/>
      <c r="E4" s="2536"/>
      <c r="F4" s="2536"/>
      <c r="G4" s="2536"/>
      <c r="H4" s="2536"/>
      <c r="I4" s="2536"/>
      <c r="J4" s="2536"/>
      <c r="K4" s="2536"/>
      <c r="L4" s="2536"/>
      <c r="M4" s="2537"/>
      <c r="N4" s="1094"/>
      <c r="O4" s="1094"/>
      <c r="P4" s="1094"/>
    </row>
    <row r="5" spans="1:16" ht="27" customHeight="1">
      <c r="A5" s="1089"/>
      <c r="B5" s="2538"/>
      <c r="C5" s="2539"/>
      <c r="D5" s="2539"/>
      <c r="E5" s="2539"/>
      <c r="F5" s="2539"/>
      <c r="G5" s="2539"/>
      <c r="H5" s="2539"/>
      <c r="I5" s="2539"/>
      <c r="J5" s="2539"/>
      <c r="K5" s="2539"/>
      <c r="L5" s="2539"/>
      <c r="M5" s="2540"/>
      <c r="N5" s="1094"/>
      <c r="O5" s="1094"/>
      <c r="P5" s="1094"/>
    </row>
    <row r="6" spans="1:16">
      <c r="A6" s="1089"/>
      <c r="B6" s="1091"/>
      <c r="C6" s="1095"/>
      <c r="D6" s="1094"/>
      <c r="E6" s="1094"/>
      <c r="F6" s="1091"/>
      <c r="G6" s="1091"/>
      <c r="H6" s="1091"/>
      <c r="I6" s="1091"/>
      <c r="J6" s="1091"/>
      <c r="K6" s="1091"/>
      <c r="L6" s="1091"/>
      <c r="M6" s="1091"/>
      <c r="N6" s="1091"/>
      <c r="O6" s="1096"/>
      <c r="P6" s="1096"/>
    </row>
    <row r="7" spans="1:16">
      <c r="A7" s="1089"/>
      <c r="B7" s="1094" t="s">
        <v>1238</v>
      </c>
      <c r="C7" s="1094"/>
      <c r="D7" s="1094"/>
      <c r="E7" s="1094"/>
      <c r="F7" s="1091"/>
      <c r="G7" s="1091"/>
      <c r="H7" s="1091"/>
      <c r="I7" s="1091"/>
      <c r="J7" s="1091"/>
      <c r="K7" s="1091"/>
      <c r="L7" s="1091"/>
      <c r="M7" s="1091"/>
      <c r="N7" s="1091"/>
      <c r="O7" s="1096"/>
      <c r="P7" s="1096"/>
    </row>
    <row r="8" spans="1:16" ht="38.25" customHeight="1">
      <c r="A8" s="1089"/>
      <c r="B8" s="2541" t="s">
        <v>1239</v>
      </c>
      <c r="C8" s="2541"/>
      <c r="D8" s="2541"/>
      <c r="E8" s="2541"/>
      <c r="F8" s="2541"/>
      <c r="G8" s="2541"/>
      <c r="H8" s="2541"/>
      <c r="I8" s="2541"/>
      <c r="J8" s="2541"/>
      <c r="K8" s="2541"/>
      <c r="L8" s="2541"/>
      <c r="M8" s="2541"/>
      <c r="N8" s="1091"/>
      <c r="O8" s="1097"/>
      <c r="P8" s="1097"/>
    </row>
    <row r="9" spans="1:16" ht="14.25">
      <c r="A9" s="1089"/>
      <c r="B9" s="1091"/>
      <c r="C9" s="1098" t="s">
        <v>1240</v>
      </c>
      <c r="D9" s="1099"/>
      <c r="E9" s="1100"/>
      <c r="F9" s="1091"/>
      <c r="G9" s="1091"/>
      <c r="H9" s="1091"/>
      <c r="I9" s="1091"/>
      <c r="J9" s="1091"/>
      <c r="K9" s="1091"/>
      <c r="L9" s="1091"/>
      <c r="M9" s="1091"/>
      <c r="N9" s="1091"/>
      <c r="O9" s="1091"/>
      <c r="P9" s="1091"/>
    </row>
    <row r="10" spans="1:16" ht="14.25" customHeight="1">
      <c r="A10" s="1089"/>
      <c r="B10" s="1091"/>
      <c r="C10" s="2542" t="s">
        <v>1241</v>
      </c>
      <c r="D10" s="2542"/>
      <c r="E10" s="2542"/>
      <c r="F10" s="2542"/>
      <c r="G10" s="2542"/>
      <c r="H10" s="2542"/>
      <c r="I10" s="2542"/>
      <c r="J10" s="2542"/>
      <c r="K10" s="2542"/>
      <c r="L10" s="2542"/>
      <c r="M10" s="2542"/>
      <c r="N10" s="2542"/>
      <c r="O10" s="2542"/>
      <c r="P10" s="1091"/>
    </row>
    <row r="11" spans="1:16" ht="8.25" customHeight="1">
      <c r="A11" s="1089"/>
      <c r="B11" s="1089"/>
      <c r="C11" s="1089"/>
      <c r="D11" s="1089"/>
      <c r="E11" s="1089"/>
      <c r="F11" s="1089"/>
      <c r="G11" s="1089"/>
      <c r="H11" s="1089"/>
      <c r="I11" s="1089"/>
      <c r="J11" s="1089"/>
      <c r="K11" s="1089"/>
      <c r="L11" s="1089"/>
      <c r="M11" s="1089"/>
      <c r="N11" s="1089"/>
      <c r="O11" s="1089"/>
      <c r="P11" s="1089"/>
    </row>
    <row r="12" spans="1:16" ht="16.5" customHeight="1">
      <c r="A12" s="1089"/>
      <c r="B12" s="1089"/>
      <c r="C12" s="1616" t="s">
        <v>1851</v>
      </c>
      <c r="D12" s="1617"/>
      <c r="E12" s="1617"/>
      <c r="F12" s="1617"/>
      <c r="G12" s="1618"/>
      <c r="H12" s="1637">
        <f>一般事項!F24</f>
        <v>0</v>
      </c>
      <c r="I12" s="1638"/>
      <c r="J12" s="1638"/>
      <c r="K12" s="1639"/>
      <c r="L12" s="1089"/>
      <c r="M12" s="1089"/>
      <c r="N12" s="1089"/>
      <c r="O12" s="1089"/>
      <c r="P12" s="1089"/>
    </row>
    <row r="13" spans="1:16" ht="15" customHeight="1">
      <c r="A13" s="1089"/>
      <c r="B13" s="1089"/>
      <c r="C13" s="1101" t="s">
        <v>1242</v>
      </c>
      <c r="D13" s="1102"/>
      <c r="E13" s="1102"/>
      <c r="F13" s="1102"/>
      <c r="G13" s="1103"/>
      <c r="H13" s="2543"/>
      <c r="I13" s="2544"/>
      <c r="J13" s="2544"/>
      <c r="K13" s="2545"/>
      <c r="L13" s="1104" t="s">
        <v>1243</v>
      </c>
      <c r="M13" s="1104"/>
      <c r="N13" s="1104"/>
      <c r="O13" s="1105"/>
      <c r="P13" s="1089"/>
    </row>
    <row r="14" spans="1:16" ht="15" customHeight="1">
      <c r="A14" s="1089"/>
      <c r="B14" s="1089"/>
      <c r="C14" s="1101" t="s">
        <v>1244</v>
      </c>
      <c r="D14" s="1102"/>
      <c r="E14" s="1102"/>
      <c r="F14" s="1102"/>
      <c r="G14" s="1103"/>
      <c r="H14" s="2546"/>
      <c r="I14" s="2547"/>
      <c r="J14" s="2547"/>
      <c r="K14" s="2548"/>
      <c r="L14" s="1106" t="s">
        <v>1245</v>
      </c>
      <c r="M14" s="1107"/>
      <c r="N14" s="1107"/>
      <c r="O14" s="1108"/>
      <c r="P14" s="1089"/>
    </row>
    <row r="15" spans="1:16" ht="61.5" customHeight="1">
      <c r="A15" s="1089"/>
      <c r="B15" s="1089"/>
      <c r="C15" s="2527" t="str">
        <f>IF(H12=0,"",IF(H12="平成28年度以前","積算区分で「１」以外を選択した場合の理由回答欄","積算区分で「0」以外を選択した場合の理由回答欄"))</f>
        <v/>
      </c>
      <c r="D15" s="2528"/>
      <c r="E15" s="2528"/>
      <c r="F15" s="2528"/>
      <c r="G15" s="2529"/>
      <c r="H15" s="2530"/>
      <c r="I15" s="2531"/>
      <c r="J15" s="2531"/>
      <c r="K15" s="2531"/>
      <c r="L15" s="2531"/>
      <c r="M15" s="2531"/>
      <c r="N15" s="2531"/>
      <c r="O15" s="2531"/>
      <c r="P15" s="1089"/>
    </row>
    <row r="16" spans="1:16">
      <c r="A16" s="1089"/>
      <c r="B16" s="1089"/>
      <c r="C16" s="1089"/>
      <c r="D16" s="1089"/>
      <c r="E16" s="1089"/>
      <c r="F16" s="1089"/>
      <c r="G16" s="1089"/>
      <c r="H16" s="1089"/>
      <c r="I16" s="1089"/>
      <c r="J16" s="1089"/>
      <c r="K16" s="1089"/>
      <c r="L16" s="1089"/>
      <c r="M16" s="1089"/>
      <c r="N16" s="1089"/>
      <c r="O16" s="1089"/>
      <c r="P16" s="1089"/>
    </row>
    <row r="17" spans="1:16">
      <c r="A17" s="1089"/>
      <c r="B17" s="1089"/>
      <c r="C17" s="1089" t="s">
        <v>1246</v>
      </c>
      <c r="D17" s="1089"/>
      <c r="E17" s="1089"/>
      <c r="F17" s="1089"/>
      <c r="G17" s="1089"/>
      <c r="H17" s="1089"/>
      <c r="I17" s="1089"/>
      <c r="J17" s="1089"/>
      <c r="K17" s="1089"/>
      <c r="L17" s="1089"/>
      <c r="M17" s="1089"/>
      <c r="N17" s="1089"/>
      <c r="O17" s="1089"/>
      <c r="P17" s="1089"/>
    </row>
    <row r="18" spans="1:16">
      <c r="A18" s="1089"/>
      <c r="B18" s="1089"/>
      <c r="C18" s="1089">
        <v>0</v>
      </c>
      <c r="D18" s="1089" t="s">
        <v>1247</v>
      </c>
      <c r="E18" s="1089"/>
      <c r="F18" s="1089"/>
      <c r="G18" s="1089"/>
      <c r="H18" s="1089"/>
      <c r="I18" s="1089"/>
      <c r="J18" s="1089"/>
      <c r="K18" s="1089"/>
      <c r="L18" s="1089"/>
      <c r="M18" s="1089"/>
      <c r="N18" s="1089"/>
      <c r="O18" s="1089"/>
      <c r="P18" s="1089"/>
    </row>
    <row r="19" spans="1:16">
      <c r="A19" s="1089"/>
      <c r="B19" s="1089"/>
      <c r="C19" s="1089">
        <v>1</v>
      </c>
      <c r="D19" s="1089" t="s">
        <v>1248</v>
      </c>
      <c r="E19" s="1089"/>
      <c r="F19" s="1089"/>
      <c r="G19" s="1089"/>
      <c r="H19" s="1089"/>
      <c r="I19" s="1089"/>
      <c r="J19" s="1089"/>
      <c r="K19" s="1089"/>
      <c r="L19" s="1089"/>
      <c r="M19" s="1089"/>
      <c r="N19" s="1089"/>
      <c r="O19" s="1089"/>
      <c r="P19" s="1089"/>
    </row>
    <row r="20" spans="1:16">
      <c r="A20" s="1089"/>
      <c r="B20" s="1089"/>
      <c r="C20" s="1089">
        <v>5</v>
      </c>
      <c r="D20" s="1089" t="s">
        <v>1249</v>
      </c>
      <c r="E20" s="1089"/>
      <c r="F20" s="1089"/>
      <c r="G20" s="1089"/>
      <c r="H20" s="1089"/>
      <c r="I20" s="1089"/>
      <c r="J20" s="1089"/>
      <c r="K20" s="1089"/>
      <c r="L20" s="1089"/>
      <c r="M20" s="1089"/>
      <c r="N20" s="1089"/>
      <c r="O20" s="1089"/>
      <c r="P20" s="1089"/>
    </row>
    <row r="21" spans="1:16">
      <c r="A21" s="1089"/>
      <c r="B21" s="1089"/>
      <c r="C21" s="1089">
        <v>9</v>
      </c>
      <c r="D21" s="1089" t="s">
        <v>1250</v>
      </c>
      <c r="E21" s="1089"/>
      <c r="F21" s="1089"/>
      <c r="G21" s="1089"/>
      <c r="H21" s="1089"/>
      <c r="I21" s="1089"/>
      <c r="J21" s="1089"/>
      <c r="K21" s="1089"/>
      <c r="L21" s="1089"/>
      <c r="M21" s="1089"/>
      <c r="N21" s="1089"/>
      <c r="O21" s="1089"/>
      <c r="P21" s="1089"/>
    </row>
    <row r="22" spans="1:16">
      <c r="A22" s="1089"/>
      <c r="B22" s="1089"/>
      <c r="C22" s="1089">
        <v>10</v>
      </c>
      <c r="D22" s="1089" t="s">
        <v>40</v>
      </c>
      <c r="E22" s="1089"/>
      <c r="F22" s="1089"/>
      <c r="G22" s="1089"/>
      <c r="H22" s="1089"/>
      <c r="I22" s="1089"/>
      <c r="J22" s="1089"/>
      <c r="K22" s="1089"/>
      <c r="L22" s="1089"/>
      <c r="M22" s="1089"/>
      <c r="N22" s="1089"/>
      <c r="O22" s="1089"/>
      <c r="P22" s="1089"/>
    </row>
  </sheetData>
  <sheetProtection algorithmName="SHA-512" hashValue="X3V6xLqjimc7uUGIbl5uOg316Fa+WIWlVTabSLiBo/5KV2V9cPrr9Iw1wAQ9ETAdfNrDmLoJDehrVKFuso8qhA==" saltValue="O1FKG1hYj2dohoCTraVbnQ==" spinCount="100000" sheet="1" objects="1" scenarios="1"/>
  <mergeCells count="7">
    <mergeCell ref="C15:G15"/>
    <mergeCell ref="H15:O15"/>
    <mergeCell ref="B3:M5"/>
    <mergeCell ref="B8:M8"/>
    <mergeCell ref="C10:O10"/>
    <mergeCell ref="H13:K13"/>
    <mergeCell ref="H14:K14"/>
  </mergeCells>
  <phoneticPr fontId="5"/>
  <dataValidations count="1">
    <dataValidation type="list" allowBlank="1" showInputMessage="1" showErrorMessage="1" sqref="H13:K13 WVP983053:WVS983053 WLT983053:WLW983053 WBX983053:WCA983053 VSB983053:VSE983053 VIF983053:VII983053 UYJ983053:UYM983053 UON983053:UOQ983053 UER983053:UEU983053 TUV983053:TUY983053 TKZ983053:TLC983053 TBD983053:TBG983053 SRH983053:SRK983053 SHL983053:SHO983053 RXP983053:RXS983053 RNT983053:RNW983053 RDX983053:REA983053 QUB983053:QUE983053 QKF983053:QKI983053 QAJ983053:QAM983053 PQN983053:PQQ983053 PGR983053:PGU983053 OWV983053:OWY983053 OMZ983053:ONC983053 ODD983053:ODG983053 NTH983053:NTK983053 NJL983053:NJO983053 MZP983053:MZS983053 MPT983053:MPW983053 MFX983053:MGA983053 LWB983053:LWE983053 LMF983053:LMI983053 LCJ983053:LCM983053 KSN983053:KSQ983053 KIR983053:KIU983053 JYV983053:JYY983053 JOZ983053:JPC983053 JFD983053:JFG983053 IVH983053:IVK983053 ILL983053:ILO983053 IBP983053:IBS983053 HRT983053:HRW983053 HHX983053:HIA983053 GYB983053:GYE983053 GOF983053:GOI983053 GEJ983053:GEM983053 FUN983053:FUQ983053 FKR983053:FKU983053 FAV983053:FAY983053 EQZ983053:ERC983053 EHD983053:EHG983053 DXH983053:DXK983053 DNL983053:DNO983053 DDP983053:DDS983053 CTT983053:CTW983053 CJX983053:CKA983053 CAB983053:CAE983053 BQF983053:BQI983053 BGJ983053:BGM983053 AWN983053:AWQ983053 AMR983053:AMU983053 ACV983053:ACY983053 SZ983053:TC983053 JD983053:JG983053 H983053:K983053 WVP917517:WVS917517 WLT917517:WLW917517 WBX917517:WCA917517 VSB917517:VSE917517 VIF917517:VII917517 UYJ917517:UYM917517 UON917517:UOQ917517 UER917517:UEU917517 TUV917517:TUY917517 TKZ917517:TLC917517 TBD917517:TBG917517 SRH917517:SRK917517 SHL917517:SHO917517 RXP917517:RXS917517 RNT917517:RNW917517 RDX917517:REA917517 QUB917517:QUE917517 QKF917517:QKI917517 QAJ917517:QAM917517 PQN917517:PQQ917517 PGR917517:PGU917517 OWV917517:OWY917517 OMZ917517:ONC917517 ODD917517:ODG917517 NTH917517:NTK917517 NJL917517:NJO917517 MZP917517:MZS917517 MPT917517:MPW917517 MFX917517:MGA917517 LWB917517:LWE917517 LMF917517:LMI917517 LCJ917517:LCM917517 KSN917517:KSQ917517 KIR917517:KIU917517 JYV917517:JYY917517 JOZ917517:JPC917517 JFD917517:JFG917517 IVH917517:IVK917517 ILL917517:ILO917517 IBP917517:IBS917517 HRT917517:HRW917517 HHX917517:HIA917517 GYB917517:GYE917517 GOF917517:GOI917517 GEJ917517:GEM917517 FUN917517:FUQ917517 FKR917517:FKU917517 FAV917517:FAY917517 EQZ917517:ERC917517 EHD917517:EHG917517 DXH917517:DXK917517 DNL917517:DNO917517 DDP917517:DDS917517 CTT917517:CTW917517 CJX917517:CKA917517 CAB917517:CAE917517 BQF917517:BQI917517 BGJ917517:BGM917517 AWN917517:AWQ917517 AMR917517:AMU917517 ACV917517:ACY917517 SZ917517:TC917517 JD917517:JG917517 H917517:K917517 WVP851981:WVS851981 WLT851981:WLW851981 WBX851981:WCA851981 VSB851981:VSE851981 VIF851981:VII851981 UYJ851981:UYM851981 UON851981:UOQ851981 UER851981:UEU851981 TUV851981:TUY851981 TKZ851981:TLC851981 TBD851981:TBG851981 SRH851981:SRK851981 SHL851981:SHO851981 RXP851981:RXS851981 RNT851981:RNW851981 RDX851981:REA851981 QUB851981:QUE851981 QKF851981:QKI851981 QAJ851981:QAM851981 PQN851981:PQQ851981 PGR851981:PGU851981 OWV851981:OWY851981 OMZ851981:ONC851981 ODD851981:ODG851981 NTH851981:NTK851981 NJL851981:NJO851981 MZP851981:MZS851981 MPT851981:MPW851981 MFX851981:MGA851981 LWB851981:LWE851981 LMF851981:LMI851981 LCJ851981:LCM851981 KSN851981:KSQ851981 KIR851981:KIU851981 JYV851981:JYY851981 JOZ851981:JPC851981 JFD851981:JFG851981 IVH851981:IVK851981 ILL851981:ILO851981 IBP851981:IBS851981 HRT851981:HRW851981 HHX851981:HIA851981 GYB851981:GYE851981 GOF851981:GOI851981 GEJ851981:GEM851981 FUN851981:FUQ851981 FKR851981:FKU851981 FAV851981:FAY851981 EQZ851981:ERC851981 EHD851981:EHG851981 DXH851981:DXK851981 DNL851981:DNO851981 DDP851981:DDS851981 CTT851981:CTW851981 CJX851981:CKA851981 CAB851981:CAE851981 BQF851981:BQI851981 BGJ851981:BGM851981 AWN851981:AWQ851981 AMR851981:AMU851981 ACV851981:ACY851981 SZ851981:TC851981 JD851981:JG851981 H851981:K851981 WVP786445:WVS786445 WLT786445:WLW786445 WBX786445:WCA786445 VSB786445:VSE786445 VIF786445:VII786445 UYJ786445:UYM786445 UON786445:UOQ786445 UER786445:UEU786445 TUV786445:TUY786445 TKZ786445:TLC786445 TBD786445:TBG786445 SRH786445:SRK786445 SHL786445:SHO786445 RXP786445:RXS786445 RNT786445:RNW786445 RDX786445:REA786445 QUB786445:QUE786445 QKF786445:QKI786445 QAJ786445:QAM786445 PQN786445:PQQ786445 PGR786445:PGU786445 OWV786445:OWY786445 OMZ786445:ONC786445 ODD786445:ODG786445 NTH786445:NTK786445 NJL786445:NJO786445 MZP786445:MZS786445 MPT786445:MPW786445 MFX786445:MGA786445 LWB786445:LWE786445 LMF786445:LMI786445 LCJ786445:LCM786445 KSN786445:KSQ786445 KIR786445:KIU786445 JYV786445:JYY786445 JOZ786445:JPC786445 JFD786445:JFG786445 IVH786445:IVK786445 ILL786445:ILO786445 IBP786445:IBS786445 HRT786445:HRW786445 HHX786445:HIA786445 GYB786445:GYE786445 GOF786445:GOI786445 GEJ786445:GEM786445 FUN786445:FUQ786445 FKR786445:FKU786445 FAV786445:FAY786445 EQZ786445:ERC786445 EHD786445:EHG786445 DXH786445:DXK786445 DNL786445:DNO786445 DDP786445:DDS786445 CTT786445:CTW786445 CJX786445:CKA786445 CAB786445:CAE786445 BQF786445:BQI786445 BGJ786445:BGM786445 AWN786445:AWQ786445 AMR786445:AMU786445 ACV786445:ACY786445 SZ786445:TC786445 JD786445:JG786445 H786445:K786445 WVP720909:WVS720909 WLT720909:WLW720909 WBX720909:WCA720909 VSB720909:VSE720909 VIF720909:VII720909 UYJ720909:UYM720909 UON720909:UOQ720909 UER720909:UEU720909 TUV720909:TUY720909 TKZ720909:TLC720909 TBD720909:TBG720909 SRH720909:SRK720909 SHL720909:SHO720909 RXP720909:RXS720909 RNT720909:RNW720909 RDX720909:REA720909 QUB720909:QUE720909 QKF720909:QKI720909 QAJ720909:QAM720909 PQN720909:PQQ720909 PGR720909:PGU720909 OWV720909:OWY720909 OMZ720909:ONC720909 ODD720909:ODG720909 NTH720909:NTK720909 NJL720909:NJO720909 MZP720909:MZS720909 MPT720909:MPW720909 MFX720909:MGA720909 LWB720909:LWE720909 LMF720909:LMI720909 LCJ720909:LCM720909 KSN720909:KSQ720909 KIR720909:KIU720909 JYV720909:JYY720909 JOZ720909:JPC720909 JFD720909:JFG720909 IVH720909:IVK720909 ILL720909:ILO720909 IBP720909:IBS720909 HRT720909:HRW720909 HHX720909:HIA720909 GYB720909:GYE720909 GOF720909:GOI720909 GEJ720909:GEM720909 FUN720909:FUQ720909 FKR720909:FKU720909 FAV720909:FAY720909 EQZ720909:ERC720909 EHD720909:EHG720909 DXH720909:DXK720909 DNL720909:DNO720909 DDP720909:DDS720909 CTT720909:CTW720909 CJX720909:CKA720909 CAB720909:CAE720909 BQF720909:BQI720909 BGJ720909:BGM720909 AWN720909:AWQ720909 AMR720909:AMU720909 ACV720909:ACY720909 SZ720909:TC720909 JD720909:JG720909 H720909:K720909 WVP655373:WVS655373 WLT655373:WLW655373 WBX655373:WCA655373 VSB655373:VSE655373 VIF655373:VII655373 UYJ655373:UYM655373 UON655373:UOQ655373 UER655373:UEU655373 TUV655373:TUY655373 TKZ655373:TLC655373 TBD655373:TBG655373 SRH655373:SRK655373 SHL655373:SHO655373 RXP655373:RXS655373 RNT655373:RNW655373 RDX655373:REA655373 QUB655373:QUE655373 QKF655373:QKI655373 QAJ655373:QAM655373 PQN655373:PQQ655373 PGR655373:PGU655373 OWV655373:OWY655373 OMZ655373:ONC655373 ODD655373:ODG655373 NTH655373:NTK655373 NJL655373:NJO655373 MZP655373:MZS655373 MPT655373:MPW655373 MFX655373:MGA655373 LWB655373:LWE655373 LMF655373:LMI655373 LCJ655373:LCM655373 KSN655373:KSQ655373 KIR655373:KIU655373 JYV655373:JYY655373 JOZ655373:JPC655373 JFD655373:JFG655373 IVH655373:IVK655373 ILL655373:ILO655373 IBP655373:IBS655373 HRT655373:HRW655373 HHX655373:HIA655373 GYB655373:GYE655373 GOF655373:GOI655373 GEJ655373:GEM655373 FUN655373:FUQ655373 FKR655373:FKU655373 FAV655373:FAY655373 EQZ655373:ERC655373 EHD655373:EHG655373 DXH655373:DXK655373 DNL655373:DNO655373 DDP655373:DDS655373 CTT655373:CTW655373 CJX655373:CKA655373 CAB655373:CAE655373 BQF655373:BQI655373 BGJ655373:BGM655373 AWN655373:AWQ655373 AMR655373:AMU655373 ACV655373:ACY655373 SZ655373:TC655373 JD655373:JG655373 H655373:K655373 WVP589837:WVS589837 WLT589837:WLW589837 WBX589837:WCA589837 VSB589837:VSE589837 VIF589837:VII589837 UYJ589837:UYM589837 UON589837:UOQ589837 UER589837:UEU589837 TUV589837:TUY589837 TKZ589837:TLC589837 TBD589837:TBG589837 SRH589837:SRK589837 SHL589837:SHO589837 RXP589837:RXS589837 RNT589837:RNW589837 RDX589837:REA589837 QUB589837:QUE589837 QKF589837:QKI589837 QAJ589837:QAM589837 PQN589837:PQQ589837 PGR589837:PGU589837 OWV589837:OWY589837 OMZ589837:ONC589837 ODD589837:ODG589837 NTH589837:NTK589837 NJL589837:NJO589837 MZP589837:MZS589837 MPT589837:MPW589837 MFX589837:MGA589837 LWB589837:LWE589837 LMF589837:LMI589837 LCJ589837:LCM589837 KSN589837:KSQ589837 KIR589837:KIU589837 JYV589837:JYY589837 JOZ589837:JPC589837 JFD589837:JFG589837 IVH589837:IVK589837 ILL589837:ILO589837 IBP589837:IBS589837 HRT589837:HRW589837 HHX589837:HIA589837 GYB589837:GYE589837 GOF589837:GOI589837 GEJ589837:GEM589837 FUN589837:FUQ589837 FKR589837:FKU589837 FAV589837:FAY589837 EQZ589837:ERC589837 EHD589837:EHG589837 DXH589837:DXK589837 DNL589837:DNO589837 DDP589837:DDS589837 CTT589837:CTW589837 CJX589837:CKA589837 CAB589837:CAE589837 BQF589837:BQI589837 BGJ589837:BGM589837 AWN589837:AWQ589837 AMR589837:AMU589837 ACV589837:ACY589837 SZ589837:TC589837 JD589837:JG589837 H589837:K589837 WVP524301:WVS524301 WLT524301:WLW524301 WBX524301:WCA524301 VSB524301:VSE524301 VIF524301:VII524301 UYJ524301:UYM524301 UON524301:UOQ524301 UER524301:UEU524301 TUV524301:TUY524301 TKZ524301:TLC524301 TBD524301:TBG524301 SRH524301:SRK524301 SHL524301:SHO524301 RXP524301:RXS524301 RNT524301:RNW524301 RDX524301:REA524301 QUB524301:QUE524301 QKF524301:QKI524301 QAJ524301:QAM524301 PQN524301:PQQ524301 PGR524301:PGU524301 OWV524301:OWY524301 OMZ524301:ONC524301 ODD524301:ODG524301 NTH524301:NTK524301 NJL524301:NJO524301 MZP524301:MZS524301 MPT524301:MPW524301 MFX524301:MGA524301 LWB524301:LWE524301 LMF524301:LMI524301 LCJ524301:LCM524301 KSN524301:KSQ524301 KIR524301:KIU524301 JYV524301:JYY524301 JOZ524301:JPC524301 JFD524301:JFG524301 IVH524301:IVK524301 ILL524301:ILO524301 IBP524301:IBS524301 HRT524301:HRW524301 HHX524301:HIA524301 GYB524301:GYE524301 GOF524301:GOI524301 GEJ524301:GEM524301 FUN524301:FUQ524301 FKR524301:FKU524301 FAV524301:FAY524301 EQZ524301:ERC524301 EHD524301:EHG524301 DXH524301:DXK524301 DNL524301:DNO524301 DDP524301:DDS524301 CTT524301:CTW524301 CJX524301:CKA524301 CAB524301:CAE524301 BQF524301:BQI524301 BGJ524301:BGM524301 AWN524301:AWQ524301 AMR524301:AMU524301 ACV524301:ACY524301 SZ524301:TC524301 JD524301:JG524301 H524301:K524301 WVP458765:WVS458765 WLT458765:WLW458765 WBX458765:WCA458765 VSB458765:VSE458765 VIF458765:VII458765 UYJ458765:UYM458765 UON458765:UOQ458765 UER458765:UEU458765 TUV458765:TUY458765 TKZ458765:TLC458765 TBD458765:TBG458765 SRH458765:SRK458765 SHL458765:SHO458765 RXP458765:RXS458765 RNT458765:RNW458765 RDX458765:REA458765 QUB458765:QUE458765 QKF458765:QKI458765 QAJ458765:QAM458765 PQN458765:PQQ458765 PGR458765:PGU458765 OWV458765:OWY458765 OMZ458765:ONC458765 ODD458765:ODG458765 NTH458765:NTK458765 NJL458765:NJO458765 MZP458765:MZS458765 MPT458765:MPW458765 MFX458765:MGA458765 LWB458765:LWE458765 LMF458765:LMI458765 LCJ458765:LCM458765 KSN458765:KSQ458765 KIR458765:KIU458765 JYV458765:JYY458765 JOZ458765:JPC458765 JFD458765:JFG458765 IVH458765:IVK458765 ILL458765:ILO458765 IBP458765:IBS458765 HRT458765:HRW458765 HHX458765:HIA458765 GYB458765:GYE458765 GOF458765:GOI458765 GEJ458765:GEM458765 FUN458765:FUQ458765 FKR458765:FKU458765 FAV458765:FAY458765 EQZ458765:ERC458765 EHD458765:EHG458765 DXH458765:DXK458765 DNL458765:DNO458765 DDP458765:DDS458765 CTT458765:CTW458765 CJX458765:CKA458765 CAB458765:CAE458765 BQF458765:BQI458765 BGJ458765:BGM458765 AWN458765:AWQ458765 AMR458765:AMU458765 ACV458765:ACY458765 SZ458765:TC458765 JD458765:JG458765 H458765:K458765 WVP393229:WVS393229 WLT393229:WLW393229 WBX393229:WCA393229 VSB393229:VSE393229 VIF393229:VII393229 UYJ393229:UYM393229 UON393229:UOQ393229 UER393229:UEU393229 TUV393229:TUY393229 TKZ393229:TLC393229 TBD393229:TBG393229 SRH393229:SRK393229 SHL393229:SHO393229 RXP393229:RXS393229 RNT393229:RNW393229 RDX393229:REA393229 QUB393229:QUE393229 QKF393229:QKI393229 QAJ393229:QAM393229 PQN393229:PQQ393229 PGR393229:PGU393229 OWV393229:OWY393229 OMZ393229:ONC393229 ODD393229:ODG393229 NTH393229:NTK393229 NJL393229:NJO393229 MZP393229:MZS393229 MPT393229:MPW393229 MFX393229:MGA393229 LWB393229:LWE393229 LMF393229:LMI393229 LCJ393229:LCM393229 KSN393229:KSQ393229 KIR393229:KIU393229 JYV393229:JYY393229 JOZ393229:JPC393229 JFD393229:JFG393229 IVH393229:IVK393229 ILL393229:ILO393229 IBP393229:IBS393229 HRT393229:HRW393229 HHX393229:HIA393229 GYB393229:GYE393229 GOF393229:GOI393229 GEJ393229:GEM393229 FUN393229:FUQ393229 FKR393229:FKU393229 FAV393229:FAY393229 EQZ393229:ERC393229 EHD393229:EHG393229 DXH393229:DXK393229 DNL393229:DNO393229 DDP393229:DDS393229 CTT393229:CTW393229 CJX393229:CKA393229 CAB393229:CAE393229 BQF393229:BQI393229 BGJ393229:BGM393229 AWN393229:AWQ393229 AMR393229:AMU393229 ACV393229:ACY393229 SZ393229:TC393229 JD393229:JG393229 H393229:K393229 WVP327693:WVS327693 WLT327693:WLW327693 WBX327693:WCA327693 VSB327693:VSE327693 VIF327693:VII327693 UYJ327693:UYM327693 UON327693:UOQ327693 UER327693:UEU327693 TUV327693:TUY327693 TKZ327693:TLC327693 TBD327693:TBG327693 SRH327693:SRK327693 SHL327693:SHO327693 RXP327693:RXS327693 RNT327693:RNW327693 RDX327693:REA327693 QUB327693:QUE327693 QKF327693:QKI327693 QAJ327693:QAM327693 PQN327693:PQQ327693 PGR327693:PGU327693 OWV327693:OWY327693 OMZ327693:ONC327693 ODD327693:ODG327693 NTH327693:NTK327693 NJL327693:NJO327693 MZP327693:MZS327693 MPT327693:MPW327693 MFX327693:MGA327693 LWB327693:LWE327693 LMF327693:LMI327693 LCJ327693:LCM327693 KSN327693:KSQ327693 KIR327693:KIU327693 JYV327693:JYY327693 JOZ327693:JPC327693 JFD327693:JFG327693 IVH327693:IVK327693 ILL327693:ILO327693 IBP327693:IBS327693 HRT327693:HRW327693 HHX327693:HIA327693 GYB327693:GYE327693 GOF327693:GOI327693 GEJ327693:GEM327693 FUN327693:FUQ327693 FKR327693:FKU327693 FAV327693:FAY327693 EQZ327693:ERC327693 EHD327693:EHG327693 DXH327693:DXK327693 DNL327693:DNO327693 DDP327693:DDS327693 CTT327693:CTW327693 CJX327693:CKA327693 CAB327693:CAE327693 BQF327693:BQI327693 BGJ327693:BGM327693 AWN327693:AWQ327693 AMR327693:AMU327693 ACV327693:ACY327693 SZ327693:TC327693 JD327693:JG327693 H327693:K327693 WVP262157:WVS262157 WLT262157:WLW262157 WBX262157:WCA262157 VSB262157:VSE262157 VIF262157:VII262157 UYJ262157:UYM262157 UON262157:UOQ262157 UER262157:UEU262157 TUV262157:TUY262157 TKZ262157:TLC262157 TBD262157:TBG262157 SRH262157:SRK262157 SHL262157:SHO262157 RXP262157:RXS262157 RNT262157:RNW262157 RDX262157:REA262157 QUB262157:QUE262157 QKF262157:QKI262157 QAJ262157:QAM262157 PQN262157:PQQ262157 PGR262157:PGU262157 OWV262157:OWY262157 OMZ262157:ONC262157 ODD262157:ODG262157 NTH262157:NTK262157 NJL262157:NJO262157 MZP262157:MZS262157 MPT262157:MPW262157 MFX262157:MGA262157 LWB262157:LWE262157 LMF262157:LMI262157 LCJ262157:LCM262157 KSN262157:KSQ262157 KIR262157:KIU262157 JYV262157:JYY262157 JOZ262157:JPC262157 JFD262157:JFG262157 IVH262157:IVK262157 ILL262157:ILO262157 IBP262157:IBS262157 HRT262157:HRW262157 HHX262157:HIA262157 GYB262157:GYE262157 GOF262157:GOI262157 GEJ262157:GEM262157 FUN262157:FUQ262157 FKR262157:FKU262157 FAV262157:FAY262157 EQZ262157:ERC262157 EHD262157:EHG262157 DXH262157:DXK262157 DNL262157:DNO262157 DDP262157:DDS262157 CTT262157:CTW262157 CJX262157:CKA262157 CAB262157:CAE262157 BQF262157:BQI262157 BGJ262157:BGM262157 AWN262157:AWQ262157 AMR262157:AMU262157 ACV262157:ACY262157 SZ262157:TC262157 JD262157:JG262157 H262157:K262157 WVP196621:WVS196621 WLT196621:WLW196621 WBX196621:WCA196621 VSB196621:VSE196621 VIF196621:VII196621 UYJ196621:UYM196621 UON196621:UOQ196621 UER196621:UEU196621 TUV196621:TUY196621 TKZ196621:TLC196621 TBD196621:TBG196621 SRH196621:SRK196621 SHL196621:SHO196621 RXP196621:RXS196621 RNT196621:RNW196621 RDX196621:REA196621 QUB196621:QUE196621 QKF196621:QKI196621 QAJ196621:QAM196621 PQN196621:PQQ196621 PGR196621:PGU196621 OWV196621:OWY196621 OMZ196621:ONC196621 ODD196621:ODG196621 NTH196621:NTK196621 NJL196621:NJO196621 MZP196621:MZS196621 MPT196621:MPW196621 MFX196621:MGA196621 LWB196621:LWE196621 LMF196621:LMI196621 LCJ196621:LCM196621 KSN196621:KSQ196621 KIR196621:KIU196621 JYV196621:JYY196621 JOZ196621:JPC196621 JFD196621:JFG196621 IVH196621:IVK196621 ILL196621:ILO196621 IBP196621:IBS196621 HRT196621:HRW196621 HHX196621:HIA196621 GYB196621:GYE196621 GOF196621:GOI196621 GEJ196621:GEM196621 FUN196621:FUQ196621 FKR196621:FKU196621 FAV196621:FAY196621 EQZ196621:ERC196621 EHD196621:EHG196621 DXH196621:DXK196621 DNL196621:DNO196621 DDP196621:DDS196621 CTT196621:CTW196621 CJX196621:CKA196621 CAB196621:CAE196621 BQF196621:BQI196621 BGJ196621:BGM196621 AWN196621:AWQ196621 AMR196621:AMU196621 ACV196621:ACY196621 SZ196621:TC196621 JD196621:JG196621 H196621:K196621 WVP131085:WVS131085 WLT131085:WLW131085 WBX131085:WCA131085 VSB131085:VSE131085 VIF131085:VII131085 UYJ131085:UYM131085 UON131085:UOQ131085 UER131085:UEU131085 TUV131085:TUY131085 TKZ131085:TLC131085 TBD131085:TBG131085 SRH131085:SRK131085 SHL131085:SHO131085 RXP131085:RXS131085 RNT131085:RNW131085 RDX131085:REA131085 QUB131085:QUE131085 QKF131085:QKI131085 QAJ131085:QAM131085 PQN131085:PQQ131085 PGR131085:PGU131085 OWV131085:OWY131085 OMZ131085:ONC131085 ODD131085:ODG131085 NTH131085:NTK131085 NJL131085:NJO131085 MZP131085:MZS131085 MPT131085:MPW131085 MFX131085:MGA131085 LWB131085:LWE131085 LMF131085:LMI131085 LCJ131085:LCM131085 KSN131085:KSQ131085 KIR131085:KIU131085 JYV131085:JYY131085 JOZ131085:JPC131085 JFD131085:JFG131085 IVH131085:IVK131085 ILL131085:ILO131085 IBP131085:IBS131085 HRT131085:HRW131085 HHX131085:HIA131085 GYB131085:GYE131085 GOF131085:GOI131085 GEJ131085:GEM131085 FUN131085:FUQ131085 FKR131085:FKU131085 FAV131085:FAY131085 EQZ131085:ERC131085 EHD131085:EHG131085 DXH131085:DXK131085 DNL131085:DNO131085 DDP131085:DDS131085 CTT131085:CTW131085 CJX131085:CKA131085 CAB131085:CAE131085 BQF131085:BQI131085 BGJ131085:BGM131085 AWN131085:AWQ131085 AMR131085:AMU131085 ACV131085:ACY131085 SZ131085:TC131085 JD131085:JG131085 H131085:K131085 WVP65549:WVS65549 WLT65549:WLW65549 WBX65549:WCA65549 VSB65549:VSE65549 VIF65549:VII65549 UYJ65549:UYM65549 UON65549:UOQ65549 UER65549:UEU65549 TUV65549:TUY65549 TKZ65549:TLC65549 TBD65549:TBG65549 SRH65549:SRK65549 SHL65549:SHO65549 RXP65549:RXS65549 RNT65549:RNW65549 RDX65549:REA65549 QUB65549:QUE65549 QKF65549:QKI65549 QAJ65549:QAM65549 PQN65549:PQQ65549 PGR65549:PGU65549 OWV65549:OWY65549 OMZ65549:ONC65549 ODD65549:ODG65549 NTH65549:NTK65549 NJL65549:NJO65549 MZP65549:MZS65549 MPT65549:MPW65549 MFX65549:MGA65549 LWB65549:LWE65549 LMF65549:LMI65549 LCJ65549:LCM65549 KSN65549:KSQ65549 KIR65549:KIU65549 JYV65549:JYY65549 JOZ65549:JPC65549 JFD65549:JFG65549 IVH65549:IVK65549 ILL65549:ILO65549 IBP65549:IBS65549 HRT65549:HRW65549 HHX65549:HIA65549 GYB65549:GYE65549 GOF65549:GOI65549 GEJ65549:GEM65549 FUN65549:FUQ65549 FKR65549:FKU65549 FAV65549:FAY65549 EQZ65549:ERC65549 EHD65549:EHG65549 DXH65549:DXK65549 DNL65549:DNO65549 DDP65549:DDS65549 CTT65549:CTW65549 CJX65549:CKA65549 CAB65549:CAE65549 BQF65549:BQI65549 BGJ65549:BGM65549 AWN65549:AWQ65549 AMR65549:AMU65549 ACV65549:ACY65549 SZ65549:TC65549 JD65549:JG65549 H65549:K65549 WVP13:WVS13 WLT13:WLW13 WBX13:WCA13 VSB13:VSE13 VIF13:VII13 UYJ13:UYM13 UON13:UOQ13 UER13:UEU13 TUV13:TUY13 TKZ13:TLC13 TBD13:TBG13 SRH13:SRK13 SHL13:SHO13 RXP13:RXS13 RNT13:RNW13 RDX13:REA13 QUB13:QUE13 QKF13:QKI13 QAJ13:QAM13 PQN13:PQQ13 PGR13:PGU13 OWV13:OWY13 OMZ13:ONC13 ODD13:ODG13 NTH13:NTK13 NJL13:NJO13 MZP13:MZS13 MPT13:MPW13 MFX13:MGA13 LWB13:LWE13 LMF13:LMI13 LCJ13:LCM13 KSN13:KSQ13 KIR13:KIU13 JYV13:JYY13 JOZ13:JPC13 JFD13:JFG13 IVH13:IVK13 ILL13:ILO13 IBP13:IBS13 HRT13:HRW13 HHX13:HIA13 GYB13:GYE13 GOF13:GOI13 GEJ13:GEM13 FUN13:FUQ13 FKR13:FKU13 FAV13:FAY13 EQZ13:ERC13 EHD13:EHG13 DXH13:DXK13 DNL13:DNO13 DDP13:DDS13 CTT13:CTW13 CJX13:CKA13 CAB13:CAE13 BQF13:BQI13 BGJ13:BGM13 AWN13:AWQ13 AMR13:AMU13 ACV13:ACY13 SZ13:TC13 JD13:JG13" xr:uid="{00000000-0002-0000-0800-000000000000}">
      <formula1>$C$18:$C$22</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92</vt:i4>
      </vt:variant>
    </vt:vector>
  </HeadingPairs>
  <TitlesOfParts>
    <vt:vector size="113" baseType="lpstr">
      <vt:lpstr>開始画面</vt:lpstr>
      <vt:lpstr>工事情報</vt:lpstr>
      <vt:lpstr>一般事項</vt:lpstr>
      <vt:lpstr>工事費</vt:lpstr>
      <vt:lpstr>工期</vt:lpstr>
      <vt:lpstr>施工分散</vt:lpstr>
      <vt:lpstr>施工環境</vt:lpstr>
      <vt:lpstr>二次製品</vt:lpstr>
      <vt:lpstr>二次製品（LED照明）</vt:lpstr>
      <vt:lpstr>準備費</vt:lpstr>
      <vt:lpstr>積算方式</vt:lpstr>
      <vt:lpstr>ICT</vt:lpstr>
      <vt:lpstr>感染対策</vt:lpstr>
      <vt:lpstr>確認</vt:lpstr>
      <vt:lpstr>元請調査票データ</vt:lpstr>
      <vt:lpstr>チェック</vt:lpstr>
      <vt:lpstr>要確認一覧表</vt:lpstr>
      <vt:lpstr>修正履歴</vt:lpstr>
      <vt:lpstr>Table</vt:lpstr>
      <vt:lpstr>KKS</vt:lpstr>
      <vt:lpstr>基礎データ</vt:lpstr>
      <vt:lpstr>H28基準書_共通仮設</vt:lpstr>
      <vt:lpstr>H28基準書_現場管理</vt:lpstr>
      <vt:lpstr>H29基準書_共通仮設</vt:lpstr>
      <vt:lpstr>H29基準書_現場管理</vt:lpstr>
      <vt:lpstr>H30基準書_共通仮設</vt:lpstr>
      <vt:lpstr>H30基準書_現場管理</vt:lpstr>
      <vt:lpstr>H31基準書_共通仮設</vt:lpstr>
      <vt:lpstr>ICT_種別</vt:lpstr>
      <vt:lpstr>ICT活用技術</vt:lpstr>
      <vt:lpstr>ICT補正</vt:lpstr>
      <vt:lpstr>ICT!Print_Area</vt:lpstr>
      <vt:lpstr>Table!Print_Area</vt:lpstr>
      <vt:lpstr>チェック!Print_Area</vt:lpstr>
      <vt:lpstr>一般事項!Print_Area</vt:lpstr>
      <vt:lpstr>確認!Print_Area</vt:lpstr>
      <vt:lpstr>感染対策!Print_Area</vt:lpstr>
      <vt:lpstr>工期!Print_Area</vt:lpstr>
      <vt:lpstr>工事情報!Print_Area</vt:lpstr>
      <vt:lpstr>工事費!Print_Area</vt:lpstr>
      <vt:lpstr>施工環境!Print_Area</vt:lpstr>
      <vt:lpstr>施工分散!Print_Area</vt:lpstr>
      <vt:lpstr>準備費!Print_Area</vt:lpstr>
      <vt:lpstr>積算方式!Print_Area</vt:lpstr>
      <vt:lpstr>二次製品!Print_Area</vt:lpstr>
      <vt:lpstr>'二次製品（LED照明）'!Print_Area</vt:lpstr>
      <vt:lpstr>要確認一覧表!Print_Area</vt:lpstr>
      <vt:lpstr>修正履歴!Print_Titles</vt:lpstr>
      <vt:lpstr>積算方式!Print_Titles</vt:lpstr>
      <vt:lpstr>二次製品!Print_Titles</vt:lpstr>
      <vt:lpstr>要確認一覧表!Print_Titles</vt:lpstr>
      <vt:lpstr>Yes_No</vt:lpstr>
      <vt:lpstr>スライドの種類</vt:lpstr>
      <vt:lpstr>スライドの有無</vt:lpstr>
      <vt:lpstr>その他補正</vt:lpstr>
      <vt:lpstr>一般管理費等の前払い金支出割合</vt:lpstr>
      <vt:lpstr>一般競争入札の評価方法</vt:lpstr>
      <vt:lpstr>外注先</vt:lpstr>
      <vt:lpstr>管理区分</vt:lpstr>
      <vt:lpstr>基準書</vt:lpstr>
      <vt:lpstr>技術管理調査項目</vt:lpstr>
      <vt:lpstr>熊本復興補正</vt:lpstr>
      <vt:lpstr>契約日から着手指定日まで30日以上あった理由</vt:lpstr>
      <vt:lpstr>契約方式【総価契約単価合意方式の場合】</vt:lpstr>
      <vt:lpstr>月</vt:lpstr>
      <vt:lpstr>工事種別</vt:lpstr>
      <vt:lpstr>工事費_有無</vt:lpstr>
      <vt:lpstr>工種</vt:lpstr>
      <vt:lpstr>広島復興補正</vt:lpstr>
      <vt:lpstr>作業実行者</vt:lpstr>
      <vt:lpstr>作業制約時間</vt:lpstr>
      <vt:lpstr>作業不能の要因</vt:lpstr>
      <vt:lpstr>山間僻地及び離島</vt:lpstr>
      <vt:lpstr>施工環境</vt:lpstr>
      <vt:lpstr>施工場所コード</vt:lpstr>
      <vt:lpstr>施工地域</vt:lpstr>
      <vt:lpstr>施工地域特性</vt:lpstr>
      <vt:lpstr>施工地域補正_共通仮設</vt:lpstr>
      <vt:lpstr>施工地域補正_現場管理</vt:lpstr>
      <vt:lpstr>施工分散_有無</vt:lpstr>
      <vt:lpstr>施工分散Yes_No</vt:lpstr>
      <vt:lpstr>車線規制</vt:lpstr>
      <vt:lpstr>週休2日補正有無</vt:lpstr>
      <vt:lpstr>所管名1</vt:lpstr>
      <vt:lpstr>所管名2</vt:lpstr>
      <vt:lpstr>除雪工事補正の有無</vt:lpstr>
      <vt:lpstr>除雪工事補正係数</vt:lpstr>
      <vt:lpstr>情報化施工_区分</vt:lpstr>
      <vt:lpstr>情報化施工_有無</vt:lpstr>
      <vt:lpstr>情報化施工の種別</vt:lpstr>
      <vt:lpstr>情報共有システム_ＡＳＰのみ_使用の有無</vt:lpstr>
      <vt:lpstr>積雪寒冷地</vt:lpstr>
      <vt:lpstr>対象工種</vt:lpstr>
      <vt:lpstr>大都市・市街地補正係数</vt:lpstr>
      <vt:lpstr>地域特性</vt:lpstr>
      <vt:lpstr>昼夜</vt:lpstr>
      <vt:lpstr>難易度</vt:lpstr>
      <vt:lpstr>二次製品</vt:lpstr>
      <vt:lpstr>日</vt:lpstr>
      <vt:lpstr>日々運搬回送</vt:lpstr>
      <vt:lpstr>入札契約方式</vt:lpstr>
      <vt:lpstr>年</vt:lpstr>
      <vt:lpstr>発注形態</vt:lpstr>
      <vt:lpstr>発注方式</vt:lpstr>
      <vt:lpstr>不明</vt:lpstr>
      <vt:lpstr>復興補正_共通仮設</vt:lpstr>
      <vt:lpstr>復興補正_現場管理</vt:lpstr>
      <vt:lpstr>補修</vt:lpstr>
      <vt:lpstr>補償方法選択</vt:lpstr>
      <vt:lpstr>有無</vt:lpstr>
      <vt:lpstr>余裕期間</vt:lpstr>
      <vt:lpstr>令和02基準書_共通仮設</vt:lpstr>
      <vt:lpstr>路上箇所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淑</dc:creator>
  <cp:lastModifiedBy>Administer</cp:lastModifiedBy>
  <cp:lastPrinted>2016-02-18T00:48:18Z</cp:lastPrinted>
  <dcterms:created xsi:type="dcterms:W3CDTF">2000-07-04T11:46:32Z</dcterms:created>
  <dcterms:modified xsi:type="dcterms:W3CDTF">2020-12-23T01:47:05Z</dcterms:modified>
</cp:coreProperties>
</file>